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K:\Marketing\Collateral-NEW\4 FLYERS, SALES TOOLS, &amp; SALES PRESENTATIONS (CPS)\COST COMPARISON and CALCULATORS\"/>
    </mc:Choice>
  </mc:AlternateContent>
  <xr:revisionPtr revIDLastSave="0" documentId="13_ncr:1_{59589A5E-4684-4BA2-96E0-AEEE9A1228FB}" xr6:coauthVersionLast="47" xr6:coauthVersionMax="47" xr10:uidLastSave="{00000000-0000-0000-0000-000000000000}"/>
  <workbookProtection workbookAlgorithmName="SHA-512" workbookHashValue="rM/ji7wK5f2KHXov8O0754omtCNvj2d8C+f4/VaaPQfc8fIxpH7lg67L5uu16egSHGRceXEoXyz1f1iLuazatQ==" workbookSaltValue="Q7W6f997M8XO+ZFHratRrA==" workbookSpinCount="100000" lockStructure="1"/>
  <bookViews>
    <workbookView xWindow="-120" yWindow="-120" windowWidth="29040" windowHeight="15990" xr2:uid="{00000000-000D-0000-FFFF-FFFF00000000}"/>
  </bookViews>
  <sheets>
    <sheet name="Choose Region" sheetId="9" r:id="rId1"/>
    <sheet name="2-50 Landmark Rate Calculator" sheetId="5" r:id="rId2"/>
    <sheet name="51-199 Landmark Rate Calculator" sheetId="11" r:id="rId3"/>
    <sheet name="VOL Landmark Rate Calculator" sheetId="12" r:id="rId4"/>
    <sheet name="Lists" sheetId="6" state="hidden" r:id="rId5"/>
  </sheets>
  <definedNames>
    <definedName name="Area_Acu_VOL">'VOL Landmark Rate Calculator'!$A$21</definedName>
    <definedName name="Area_Chiro_GroupSize_51199" localSheetId="2">'51-199 Landmark Rate Calculator'!$A$13</definedName>
    <definedName name="Area_Chiro_VOL">'VOL Landmark Rate Calculator'!$A$13</definedName>
    <definedName name="Area_ChiroAcu_GroupSize_51199">'51-199 Landmark Rate Calculator'!$A$23</definedName>
    <definedName name="Area_GroupSize_0250" localSheetId="1">'2-50 Landmark Rate Calculator'!$A$12</definedName>
    <definedName name="List_Area">Lists!$A$2:$A$4</definedName>
    <definedName name="List_EffDate">Lists!$B$2:$B$14</definedName>
    <definedName name="List_RateTable_LG">Lists!$D$18:$AZ$38</definedName>
    <definedName name="List_RateTable_SG">Lists!$D$2:$AJ$15</definedName>
    <definedName name="List_RateTable_VOL">Lists!$D$44:$AD$49</definedName>
    <definedName name="_xlnm.Print_Area" localSheetId="1">'2-50 Landmark Rate Calculator'!$A$1:$G$35</definedName>
    <definedName name="_xlnm.Print_Area" localSheetId="2">'51-199 Landmark Rate Calculator'!$A$1:$N$50</definedName>
    <definedName name="_xlnm.Print_Area" localSheetId="0">'Choose Region'!$A$1:$F$5</definedName>
    <definedName name="_xlnm.Print_Area" localSheetId="3">'VOL Landmark Rate Calculator'!$A$1:$N$47</definedName>
    <definedName name="_xlnm.Print_Titles" localSheetId="2">'51-199 Landmark Rate Calculator'!$1:$2</definedName>
    <definedName name="_xlnm.Print_Titles" localSheetId="0">'Choose Region'!$1:$1</definedName>
    <definedName name="_xlnm.Print_Titles" localSheetId="3">'VOL Landmark Rate Calculator'!$1:$2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2" l="1"/>
  <c r="K13" i="12"/>
  <c r="O6" i="12" s="1"/>
  <c r="A21" i="12" l="1"/>
  <c r="C23" i="12" s="1"/>
  <c r="O9" i="12"/>
  <c r="A13" i="12"/>
  <c r="C15" i="12" s="1"/>
  <c r="C25" i="12" l="1"/>
  <c r="E25" i="12"/>
  <c r="D24" i="12"/>
  <c r="E24" i="12"/>
  <c r="D25" i="12"/>
  <c r="D23" i="12"/>
  <c r="E23" i="12"/>
  <c r="C24" i="12"/>
  <c r="C17" i="12"/>
  <c r="E17" i="12"/>
  <c r="C16" i="12"/>
  <c r="E16" i="12"/>
  <c r="E15" i="12"/>
  <c r="D17" i="12"/>
  <c r="D15" i="12"/>
  <c r="D16" i="12"/>
  <c r="M9" i="11"/>
  <c r="H10" i="5"/>
  <c r="D26" i="12" l="1"/>
  <c r="E26" i="12"/>
  <c r="C26" i="12"/>
  <c r="C18" i="12"/>
  <c r="D18" i="12"/>
  <c r="E18" i="12"/>
  <c r="O12" i="5"/>
  <c r="A12" i="5" s="1"/>
  <c r="N9" i="11" l="1"/>
  <c r="A13" i="11" s="1"/>
  <c r="F19" i="11" l="1"/>
  <c r="C16" i="11"/>
  <c r="F17" i="5"/>
  <c r="D14" i="5"/>
  <c r="E14" i="5"/>
  <c r="C14" i="5"/>
  <c r="C15" i="5"/>
  <c r="E15" i="5"/>
  <c r="C16" i="5"/>
  <c r="E16" i="5"/>
  <c r="C17" i="5"/>
  <c r="E17" i="5"/>
  <c r="F14" i="5"/>
  <c r="D15" i="5"/>
  <c r="F15" i="5"/>
  <c r="D16" i="5"/>
  <c r="F16" i="5"/>
  <c r="D17" i="5"/>
  <c r="A23" i="11"/>
  <c r="E18" i="5" l="1"/>
  <c r="D18" i="5"/>
  <c r="F18" i="5"/>
  <c r="H28" i="11"/>
  <c r="D28" i="11"/>
  <c r="H27" i="11"/>
  <c r="D27" i="11"/>
  <c r="H26" i="11"/>
  <c r="D26" i="11"/>
  <c r="H25" i="11"/>
  <c r="D25" i="11"/>
  <c r="G28" i="11"/>
  <c r="C28" i="11"/>
  <c r="G27" i="11"/>
  <c r="C27" i="11"/>
  <c r="G26" i="11"/>
  <c r="C26" i="11"/>
  <c r="G25" i="11"/>
  <c r="C25" i="11"/>
  <c r="F28" i="11"/>
  <c r="F27" i="11"/>
  <c r="F26" i="11"/>
  <c r="F25" i="11"/>
  <c r="E28" i="11"/>
  <c r="E27" i="11"/>
  <c r="E26" i="11"/>
  <c r="E25" i="11"/>
  <c r="C18" i="5"/>
  <c r="H16" i="11"/>
  <c r="G16" i="11"/>
  <c r="F16" i="11"/>
  <c r="E16" i="11"/>
  <c r="D16" i="11"/>
  <c r="G18" i="11"/>
  <c r="E18" i="11"/>
  <c r="C18" i="11"/>
  <c r="G17" i="11"/>
  <c r="E17" i="11"/>
  <c r="C17" i="11"/>
  <c r="H19" i="11"/>
  <c r="G19" i="11"/>
  <c r="E19" i="11"/>
  <c r="D19" i="11"/>
  <c r="C19" i="11"/>
  <c r="H18" i="11"/>
  <c r="F18" i="11"/>
  <c r="D18" i="11"/>
  <c r="H17" i="11"/>
  <c r="F17" i="11"/>
  <c r="D17" i="11"/>
  <c r="E20" i="11" l="1"/>
  <c r="H29" i="11"/>
  <c r="F20" i="11"/>
  <c r="E29" i="11"/>
  <c r="D29" i="11"/>
  <c r="G29" i="11"/>
  <c r="C20" i="11"/>
  <c r="G20" i="11"/>
  <c r="C29" i="11"/>
  <c r="F29" i="11"/>
  <c r="D20" i="11"/>
  <c r="H20" i="11"/>
</calcChain>
</file>

<file path=xl/sharedStrings.xml><?xml version="1.0" encoding="utf-8"?>
<sst xmlns="http://schemas.openxmlformats.org/spreadsheetml/2006/main" count="247" uniqueCount="139">
  <si>
    <t>Total Cost</t>
  </si>
  <si>
    <t>Company Information</t>
  </si>
  <si>
    <t>Benefit Comparison</t>
  </si>
  <si>
    <t>Cost Comparison</t>
  </si>
  <si>
    <t>Presented by</t>
  </si>
  <si>
    <t>Company Name:</t>
  </si>
  <si>
    <t>List_Area_PPO</t>
  </si>
  <si>
    <t>Region</t>
  </si>
  <si>
    <t>Percent Difference between Good, Better and Best</t>
  </si>
  <si>
    <t>Effective Date:</t>
  </si>
  <si>
    <t>List_EffDate</t>
  </si>
  <si>
    <t>Select your effective date</t>
  </si>
  <si>
    <t>Select your Region</t>
  </si>
  <si>
    <t>Bay Area</t>
  </si>
  <si>
    <t>California</t>
  </si>
  <si>
    <t>Rate Area Definitions</t>
  </si>
  <si>
    <t>All California counties not included in the Bay Area region.</t>
  </si>
  <si>
    <t xml:space="preserve">Counties: Alameda, Contra Costa, Marin, San Francisco, San Mateo, and Santa Clara. </t>
  </si>
  <si>
    <t>$20/20</t>
  </si>
  <si>
    <t>Program Guidelines</t>
  </si>
  <si>
    <t>Expanded</t>
  </si>
  <si>
    <t>$15/20</t>
  </si>
  <si>
    <t>Rates are only valid for groups with 
2-50 employees.  Groups with more than 50 must use the 51-199 calculator.</t>
  </si>
  <si>
    <t>List_RateTable_SG</t>
  </si>
  <si>
    <t>Bay Area224</t>
  </si>
  <si>
    <t>Bay Area2550</t>
  </si>
  <si>
    <t>Select your Region224</t>
  </si>
  <si>
    <t>Select your Region2550</t>
  </si>
  <si>
    <t>CHIRO STD 20/20</t>
  </si>
  <si>
    <t>CHIRO STD 15/20</t>
  </si>
  <si>
    <t>CHIRO/ACU STD 20/20</t>
  </si>
  <si>
    <t>CHIRO/ACU STD 15/20</t>
  </si>
  <si>
    <t>$10/20</t>
  </si>
  <si>
    <t>$10/30</t>
  </si>
  <si>
    <t>$15/30</t>
  </si>
  <si>
    <t>$20/30</t>
  </si>
  <si>
    <t>Chiropractic Only</t>
  </si>
  <si>
    <t>Rates are only valid for groups with 
51-199 employees.  Groups with less than 51 must use the 2-50 calculator.</t>
  </si>
  <si>
    <t>Combined Chiropractic &amp; Acupuncture</t>
  </si>
  <si>
    <t>General Benefits</t>
  </si>
  <si>
    <t>List_RateTable_LG</t>
  </si>
  <si>
    <t>Standard 10/20</t>
  </si>
  <si>
    <t>Standard 10/30</t>
  </si>
  <si>
    <t>Standard 15/30</t>
  </si>
  <si>
    <t>Standard 20/20</t>
  </si>
  <si>
    <t>Standard 20/30</t>
  </si>
  <si>
    <t>ChiroSelect your Region51100</t>
  </si>
  <si>
    <t>AcuSelect your Region51100</t>
  </si>
  <si>
    <t>ChiroAcuSelect your Region51100</t>
  </si>
  <si>
    <t>ChiroBay Area51100</t>
  </si>
  <si>
    <t>AcuBay Area51100</t>
  </si>
  <si>
    <t>ChiroAcuBay Area51100</t>
  </si>
  <si>
    <t>ChiroBay Area101199</t>
  </si>
  <si>
    <t>AcuBay Area101199</t>
  </si>
  <si>
    <t>ChiroAcuBay Area101199</t>
  </si>
  <si>
    <t>ChiroSelect your Region101199</t>
  </si>
  <si>
    <t>AcuSelect your Region101199</t>
  </si>
  <si>
    <t>ChiroAcuSelect your Region101199</t>
  </si>
  <si>
    <t>Chiropractic Only Plans</t>
  </si>
  <si>
    <t>Combined Chiropractic &amp; Acupuncture Plans</t>
  </si>
  <si>
    <t xml:space="preserve">Available for groups with 51―199 employees. </t>
  </si>
  <si>
    <t>Non-Bay Area</t>
  </si>
  <si>
    <t>Non-Bay Area224</t>
  </si>
  <si>
    <t>Non-Bay Area2550</t>
  </si>
  <si>
    <t>ChiroNon-Bay Area51100</t>
  </si>
  <si>
    <t>AcuNon-Bay Area51100</t>
  </si>
  <si>
    <t>ChiroAcuNon-Bay Area51100</t>
  </si>
  <si>
    <t>ChiroNon-Bay Area101199</t>
  </si>
  <si>
    <t>AcuNon-Bay Area101199</t>
  </si>
  <si>
    <t>ChiroAcuNon-Bay Area101199</t>
  </si>
  <si>
    <t xml:space="preserve">Available for groups with 2 ― 50 employees. </t>
  </si>
  <si>
    <t xml:space="preserve">License # </t>
  </si>
  <si>
    <t xml:space="preserve">**Enter your contact information here.**  </t>
  </si>
  <si>
    <r>
      <t xml:space="preserve">Office Visit Copay
</t>
    </r>
    <r>
      <rPr>
        <sz val="12"/>
        <color rgb="FF414042"/>
        <rFont val="Arial"/>
        <family val="2"/>
      </rPr>
      <t>Paid to provider at time of service.</t>
    </r>
  </si>
  <si>
    <r>
      <t xml:space="preserve">Office Visits 
</t>
    </r>
    <r>
      <rPr>
        <sz val="12"/>
        <color rgb="FF414042"/>
        <rFont val="Arial"/>
        <family val="2"/>
      </rPr>
      <t>Annual maximum per plan year.</t>
    </r>
  </si>
  <si>
    <r>
      <t xml:space="preserve">Emergency Visit Copay
</t>
    </r>
    <r>
      <rPr>
        <sz val="12"/>
        <color rgb="FF414042"/>
        <rFont val="Arial"/>
        <family val="2"/>
      </rPr>
      <t>Paid to provider at time of service or deducted from claim.</t>
    </r>
  </si>
  <si>
    <r>
      <t>Durable Medical Equipment</t>
    </r>
    <r>
      <rPr>
        <sz val="12"/>
        <color rgb="FF414042"/>
        <rFont val="Arial"/>
        <family val="2"/>
      </rPr>
      <t xml:space="preserve">
Annual maximum per plan year.</t>
    </r>
  </si>
  <si>
    <r>
      <t xml:space="preserve">Covered Acupuncture Services
  </t>
    </r>
    <r>
      <rPr>
        <sz val="12"/>
        <color rgb="FF414042"/>
        <rFont val="Arial"/>
        <family val="2"/>
      </rPr>
      <t>• Acupuncture
  • Electro-acupuncture
  • Moxibustion
  • Cupping
  • Acupressure, only when
   acupuncture is contraindicated</t>
    </r>
  </si>
  <si>
    <t>Number of Employee</t>
  </si>
  <si>
    <t>Number of Employee + Spouse</t>
  </si>
  <si>
    <t>Number of Employee + Child(ren)</t>
  </si>
  <si>
    <t>Number of Employee + Family</t>
  </si>
  <si>
    <t>Number of Employee Only</t>
  </si>
  <si>
    <t>Employee</t>
  </si>
  <si>
    <t>Employee + Spouse</t>
  </si>
  <si>
    <t>Employee + Child(ren)</t>
  </si>
  <si>
    <t>Employee + Family</t>
  </si>
  <si>
    <t>Not applicable</t>
  </si>
  <si>
    <t xml:space="preserve">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 </t>
  </si>
  <si>
    <t xml:space="preserve">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t>
  </si>
  <si>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t>
  </si>
  <si>
    <t>Services are those within the scope of acupuncture care for the treatment of neuromusculoskeletal pain resulting from an injury or illness. In addition, coverage is provided for preventive, maintenance and wellness care for any mechanical neuromusculoskeletal condition, uncomplicated asthma (that which is not effected by another condition or disease), allergies, post-operative or chemo-therapy nausea and vomiting, nausea of pregnancy, post-operative (including dental) pain, fibromyalgia, headaches and low-back pain.</t>
  </si>
  <si>
    <t>List_RateTable_VOL</t>
  </si>
  <si>
    <t>$25/10</t>
  </si>
  <si>
    <t>$25/15</t>
  </si>
  <si>
    <t>$25/20</t>
  </si>
  <si>
    <t>$35/10</t>
  </si>
  <si>
    <t>$35/15</t>
  </si>
  <si>
    <t>$35/20</t>
  </si>
  <si>
    <t>ChiroSelect your Region</t>
  </si>
  <si>
    <t>AcuSelect your Region</t>
  </si>
  <si>
    <t>CHIRO EXP $20/20</t>
  </si>
  <si>
    <t>CHIRO EXP $15/20</t>
  </si>
  <si>
    <t>Expanded $10/20</t>
  </si>
  <si>
    <t>Expanded $10/30</t>
  </si>
  <si>
    <t>Expanded $15/20</t>
  </si>
  <si>
    <t>CHIRO/ACU EXP $20/20</t>
  </si>
  <si>
    <t>CHIRO/ACU EXP $15/20</t>
  </si>
  <si>
    <t>Standard $15/20</t>
  </si>
  <si>
    <t>Expanded $15/30</t>
  </si>
  <si>
    <t>Expanded $20/20</t>
  </si>
  <si>
    <t>Expanded $20/30</t>
  </si>
  <si>
    <t xml:space="preserve">Available for groups with 2 - 199 employees. </t>
  </si>
  <si>
    <t>ChiroBay Area</t>
  </si>
  <si>
    <t>ChiroNon-Bay Area</t>
  </si>
  <si>
    <t>AcuBay Area</t>
  </si>
  <si>
    <t>Only</t>
  </si>
  <si>
    <t>+ One</t>
  </si>
  <si>
    <t>+ Family</t>
  </si>
  <si>
    <t>$25 Copay /10 Visits</t>
  </si>
  <si>
    <t>Employee + One</t>
  </si>
  <si>
    <t>Number of Employee + One</t>
  </si>
  <si>
    <t>Chiropractic (Voluntary)</t>
  </si>
  <si>
    <t>Acupuncture (Voluntary)</t>
  </si>
  <si>
    <t>Chiropractic</t>
  </si>
  <si>
    <t>Acupuncture</t>
  </si>
  <si>
    <t>AcuNon-Bay Area</t>
  </si>
  <si>
    <t>Coverage for chiropratic and/or acupuncture services for preventative, maintenance, and wellness care for any condition and/or injury or illness. Services need not be pre-authorized and are not reviewed for medical necessity.</t>
  </si>
  <si>
    <t>Not Applicable</t>
  </si>
  <si>
    <t>Acupuncture Plans</t>
  </si>
  <si>
    <t>Chiropractic Plans</t>
  </si>
  <si>
    <t xml:space="preserve">This document is not meant to replace a quote and does not include all exclusions, limitations or program guidelines. While the information and rates provided here are believed to be accurate as of the print date, they are subject to change without notice. For the most up-to-date information, contact CoPower or your local Amwins Connect representative. </t>
  </si>
  <si>
    <r>
      <t xml:space="preserve">Covered Chiropractic Services
  </t>
    </r>
    <r>
      <rPr>
        <sz val="12"/>
        <color rgb="FF414042"/>
        <rFont val="Arial"/>
        <family val="2"/>
      </rPr>
      <t>• Examinations
  • Manipulation
  • Conjunctive Physiotherapy
  • X-Rays
  • Emergency Services</t>
    </r>
  </si>
  <si>
    <r>
      <t xml:space="preserve">Covered Chiropractic Services
  </t>
    </r>
    <r>
      <rPr>
        <sz val="12"/>
        <color rgb="FF414042"/>
        <rFont val="Arial"/>
        <family val="2"/>
      </rPr>
      <t>• Examinations
  • Manipulation
  • Conjunctive Physiotherapy
  • X-Rays</t>
    </r>
    <r>
      <rPr>
        <b/>
        <sz val="12"/>
        <color rgb="FF414042"/>
        <rFont val="Arial"/>
        <family val="2"/>
      </rPr>
      <t xml:space="preserve">
</t>
    </r>
    <r>
      <rPr>
        <sz val="12"/>
        <color rgb="FF414042"/>
        <rFont val="Arial"/>
        <family val="2"/>
      </rPr>
      <t xml:space="preserve">  • Emergency Services</t>
    </r>
  </si>
  <si>
    <r>
      <t>Durable Medical Equipment*</t>
    </r>
    <r>
      <rPr>
        <sz val="12"/>
        <color rgb="FF414042"/>
        <rFont val="Arial"/>
        <family val="2"/>
      </rPr>
      <t xml:space="preserve">
Annual maximum per plan year.</t>
    </r>
  </si>
  <si>
    <t>Services are those within the scope of chiropractic care that are supportive or necessary to help patients achieve the physical state enjoyed before an injury or illness. In addition, services for preventive, maintenance, and wellness care for any mechanical neuromusculoskeletal condition are also covered. Annual maximum per plan year for X-rays is $75. X-Rays &amp; Durable Medical Equipment must be prescribed by a Participating Chiropractor.</t>
  </si>
  <si>
    <t>Coverage for chiropratic and/or acupuncture services for preventative, maintenance, and wellness care for any condition and/or injury or illness. 
Services need not be pre-authorized and are not reviewed for medical necessity.</t>
  </si>
  <si>
    <r>
      <t xml:space="preserve">X-Rays*
</t>
    </r>
    <r>
      <rPr>
        <sz val="12"/>
        <color rgb="FF414042"/>
        <rFont val="Arial"/>
        <family val="2"/>
      </rPr>
      <t>Annual maximum per plan year.</t>
    </r>
  </si>
  <si>
    <t>*X-Rays &amp; Durable Medical Equipment must be prescribed by a Participating Chiropractor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</si>
</sst>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43" formatCode="_(* #,##0.00_);_(* \(#,##0.00\);_(* &quot;-&quot;??_);_(@_)"/>
    <numFmt numFmtId="164" formatCode="&quot;$&quot;#,##0.00"/>
    <numFmt numFmtId="165" formatCode="m/d/yy;@"/>
  </numFmts>
  <fonts count="64" x14ac:knownFonts="1">
    <font>
      <sz val="10"/>
      <name val="Arial"/>
    </font>
    <font>
      <sz val="10"/>
      <name val="Arial"/>
      <family val="2"/>
    </font>
    <font>
      <sz val="12"/>
      <name val="Verdana"/>
      <family val="2"/>
    </font>
    <font>
      <sz val="12"/>
      <name val="Trebuchet MS"/>
      <family val="2"/>
    </font>
    <font>
      <sz val="11"/>
      <name val="Verdana"/>
      <family val="2"/>
    </font>
    <font>
      <b/>
      <sz val="12"/>
      <name val="Verdana"/>
      <family val="2"/>
    </font>
    <font>
      <sz val="10"/>
      <name val="Verdana"/>
      <family val="2"/>
    </font>
    <font>
      <b/>
      <sz val="16"/>
      <color theme="0"/>
      <name val="Trebuchet MS"/>
      <family val="2"/>
    </font>
    <font>
      <b/>
      <sz val="14"/>
      <color theme="0"/>
      <name val="Trebuchet MS"/>
      <family val="2"/>
    </font>
    <font>
      <b/>
      <sz val="12"/>
      <color theme="0"/>
      <name val="Verdana"/>
      <family val="2"/>
    </font>
    <font>
      <b/>
      <sz val="35"/>
      <color rgb="FFF57100"/>
      <name val="Trebuchet MS"/>
      <family val="2"/>
    </font>
    <font>
      <sz val="12"/>
      <color theme="0"/>
      <name val="Verdana"/>
      <family val="2"/>
    </font>
    <font>
      <sz val="12"/>
      <name val="Open Sans"/>
      <family val="2"/>
    </font>
    <font>
      <sz val="12"/>
      <color rgb="FFFF0000"/>
      <name val="Open Sans"/>
      <family val="2"/>
    </font>
    <font>
      <b/>
      <sz val="16"/>
      <color theme="0"/>
      <name val="Open Sans"/>
      <family val="2"/>
    </font>
    <font>
      <b/>
      <sz val="16"/>
      <color rgb="FFFF0000"/>
      <name val="Open Sans"/>
      <family val="2"/>
    </font>
    <font>
      <sz val="13"/>
      <name val="Open Sans"/>
      <family val="2"/>
    </font>
    <font>
      <i/>
      <sz val="12"/>
      <color theme="0"/>
      <name val="Open Sans"/>
      <family val="2"/>
    </font>
    <font>
      <sz val="12"/>
      <color theme="0"/>
      <name val="Open Sans"/>
      <family val="2"/>
    </font>
    <font>
      <i/>
      <sz val="11"/>
      <name val="Open Sans"/>
      <family val="2"/>
    </font>
    <font>
      <b/>
      <sz val="16"/>
      <name val="Open Sans"/>
      <family val="2"/>
    </font>
    <font>
      <b/>
      <sz val="12"/>
      <color rgb="FFFF0000"/>
      <name val="Open Sans"/>
      <family val="2"/>
    </font>
    <font>
      <b/>
      <sz val="12"/>
      <color theme="0"/>
      <name val="Open Sans"/>
      <family val="2"/>
    </font>
    <font>
      <b/>
      <sz val="12"/>
      <name val="Open Sans"/>
      <family val="2"/>
    </font>
    <font>
      <sz val="10"/>
      <name val="Open Sans"/>
      <family val="2"/>
    </font>
    <font>
      <sz val="10"/>
      <color rgb="FFFF0000"/>
      <name val="Open Sans"/>
      <family val="2"/>
    </font>
    <font>
      <b/>
      <sz val="16"/>
      <color rgb="FF414042"/>
      <name val="Open Sans"/>
      <family val="2"/>
    </font>
    <font>
      <sz val="10"/>
      <color rgb="FF414042"/>
      <name val="Arial"/>
      <family val="2"/>
    </font>
    <font>
      <sz val="10"/>
      <color theme="0"/>
      <name val="Arial"/>
      <family val="2"/>
    </font>
    <font>
      <sz val="12"/>
      <color rgb="FF414042"/>
      <name val="Arial"/>
      <family val="2"/>
    </font>
    <font>
      <b/>
      <sz val="16"/>
      <color theme="0"/>
      <name val="Arial"/>
      <family val="2"/>
    </font>
    <font>
      <b/>
      <sz val="12"/>
      <color rgb="FF22524C"/>
      <name val="Arial"/>
      <family val="2"/>
    </font>
    <font>
      <b/>
      <sz val="12"/>
      <color rgb="FFF7941E"/>
      <name val="Arial"/>
      <family val="2"/>
    </font>
    <font>
      <sz val="11"/>
      <color rgb="FF414042"/>
      <name val="Arial"/>
      <family val="2"/>
    </font>
    <font>
      <sz val="12"/>
      <color theme="0"/>
      <name val="Arial"/>
      <family val="2"/>
    </font>
    <font>
      <sz val="12"/>
      <color rgb="FFFF0000"/>
      <name val="Arial"/>
      <family val="2"/>
    </font>
    <font>
      <sz val="12"/>
      <name val="Arial"/>
      <family val="2"/>
    </font>
    <font>
      <sz val="10"/>
      <color rgb="FFFF0000"/>
      <name val="Arial"/>
      <family val="2"/>
    </font>
    <font>
      <b/>
      <sz val="12"/>
      <color rgb="FFFF0000"/>
      <name val="Arial"/>
      <family val="2"/>
    </font>
    <font>
      <b/>
      <sz val="14"/>
      <color rgb="FF414042"/>
      <name val="Arial"/>
      <family val="2"/>
    </font>
    <font>
      <sz val="8"/>
      <color theme="0"/>
      <name val="Arial"/>
      <family val="2"/>
    </font>
    <font>
      <b/>
      <sz val="14"/>
      <color theme="0"/>
      <name val="Arial"/>
      <family val="2"/>
    </font>
    <font>
      <b/>
      <sz val="13"/>
      <color theme="0"/>
      <name val="Arial"/>
      <family val="2"/>
    </font>
    <font>
      <b/>
      <sz val="12"/>
      <color rgb="FF414042"/>
      <name val="Arial"/>
      <family val="2"/>
    </font>
    <font>
      <b/>
      <sz val="12"/>
      <color theme="0"/>
      <name val="Arial"/>
      <family val="2"/>
    </font>
    <font>
      <b/>
      <sz val="16"/>
      <name val="Arial"/>
      <family val="2"/>
    </font>
    <font>
      <b/>
      <sz val="12"/>
      <name val="Arial"/>
      <family val="2"/>
    </font>
    <font>
      <sz val="11.5"/>
      <color rgb="FF414042"/>
      <name val="Arial"/>
      <family val="2"/>
    </font>
    <font>
      <sz val="13"/>
      <color rgb="FFFF0000"/>
      <name val="Arial"/>
      <family val="2"/>
    </font>
    <font>
      <i/>
      <sz val="11"/>
      <color rgb="FFFF0000"/>
      <name val="Arial"/>
      <family val="2"/>
    </font>
    <font>
      <b/>
      <sz val="16"/>
      <color rgb="FFFF0000"/>
      <name val="Arial"/>
      <family val="2"/>
    </font>
    <font>
      <i/>
      <sz val="12"/>
      <color theme="0"/>
      <name val="Arial"/>
      <family val="2"/>
    </font>
    <font>
      <sz val="13"/>
      <name val="Arial"/>
      <family val="2"/>
    </font>
    <font>
      <b/>
      <sz val="11"/>
      <color theme="0"/>
      <name val="Arial"/>
      <family val="2"/>
    </font>
    <font>
      <sz val="16"/>
      <name val="Arial"/>
      <family val="2"/>
    </font>
    <font>
      <b/>
      <sz val="35"/>
      <color rgb="FF3C9287"/>
      <name val="Trebuchet MS"/>
      <family val="2"/>
    </font>
    <font>
      <b/>
      <sz val="13"/>
      <color rgb="FFF6F6F6"/>
      <name val="Arial"/>
      <family val="2"/>
    </font>
    <font>
      <sz val="12"/>
      <color theme="1" tint="0.249977111117893"/>
      <name val="Arial"/>
      <family val="2"/>
    </font>
    <font>
      <b/>
      <sz val="12"/>
      <color rgb="FF000000"/>
      <name val="Calibri"/>
      <family val="2"/>
    </font>
    <font>
      <i/>
      <sz val="12"/>
      <name val="Verdana"/>
      <family val="2"/>
    </font>
    <font>
      <i/>
      <u/>
      <sz val="12"/>
      <name val="Arial"/>
      <family val="2"/>
    </font>
    <font>
      <b/>
      <i/>
      <u/>
      <sz val="12"/>
      <name val="Arial"/>
      <family val="2"/>
    </font>
    <font>
      <sz val="9"/>
      <color theme="1" tint="0.249977111117893"/>
      <name val="Arial"/>
      <family val="2"/>
    </font>
    <font>
      <b/>
      <sz val="9"/>
      <color rgb="FFF7941E"/>
      <name val="Arial"/>
      <family val="2"/>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rgb="FF3C9287"/>
        <bgColor indexed="64"/>
      </patternFill>
    </fill>
    <fill>
      <patternFill patternType="solid">
        <fgColor rgb="FFFFF1E2"/>
        <bgColor indexed="64"/>
      </patternFill>
    </fill>
    <fill>
      <patternFill patternType="solid">
        <fgColor theme="0" tint="-4.9989318521683403E-2"/>
        <bgColor indexed="64"/>
      </patternFill>
    </fill>
    <fill>
      <patternFill patternType="solid">
        <fgColor rgb="FF414042"/>
        <bgColor indexed="64"/>
      </patternFill>
    </fill>
    <fill>
      <patternFill patternType="solid">
        <fgColor rgb="FFF6F6F6"/>
        <bgColor indexed="64"/>
      </patternFill>
    </fill>
    <fill>
      <patternFill patternType="solid">
        <fgColor rgb="FF45A082"/>
        <bgColor indexed="64"/>
      </patternFill>
    </fill>
    <fill>
      <patternFill patternType="solid">
        <fgColor rgb="FF598D7E"/>
        <bgColor indexed="64"/>
      </patternFill>
    </fill>
    <fill>
      <patternFill patternType="solid">
        <fgColor theme="6" tint="0.79998168889431442"/>
        <bgColor indexed="64"/>
      </patternFill>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22524C"/>
      </left>
      <right/>
      <top/>
      <bottom/>
      <diagonal/>
    </border>
    <border>
      <left/>
      <right style="thin">
        <color rgb="FF22524C"/>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bottom style="thin">
        <color indexed="64"/>
      </bottom>
      <diagonal/>
    </border>
    <border>
      <left/>
      <right/>
      <top/>
      <bottom style="thin">
        <color rgb="FF414042"/>
      </bottom>
      <diagonal/>
    </border>
    <border>
      <left/>
      <right/>
      <top style="thin">
        <color rgb="FF414042"/>
      </top>
      <bottom style="thin">
        <color rgb="FF414042"/>
      </bottom>
      <diagonal/>
    </border>
    <border>
      <left style="thin">
        <color rgb="FF414042"/>
      </left>
      <right style="thin">
        <color rgb="FF414042"/>
      </right>
      <top style="thin">
        <color rgb="FF414042"/>
      </top>
      <bottom style="thin">
        <color rgb="FF414042"/>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rgb="FF414042"/>
      </right>
      <top style="thin">
        <color theme="0"/>
      </top>
      <bottom/>
      <diagonal/>
    </border>
    <border>
      <left style="thin">
        <color theme="0"/>
      </left>
      <right style="thin">
        <color rgb="FF414042"/>
      </right>
      <top style="thin">
        <color rgb="FF414042"/>
      </top>
      <bottom style="thin">
        <color rgb="FF414042"/>
      </bottom>
      <diagonal/>
    </border>
    <border>
      <left style="thin">
        <color rgb="FF414042"/>
      </left>
      <right/>
      <top style="thin">
        <color rgb="FF414042"/>
      </top>
      <bottom style="thin">
        <color rgb="FF414042"/>
      </bottom>
      <diagonal/>
    </border>
    <border>
      <left style="thin">
        <color theme="0"/>
      </left>
      <right/>
      <top style="thin">
        <color rgb="FF414042"/>
      </top>
      <bottom style="thin">
        <color rgb="FF414042"/>
      </bottom>
      <diagonal/>
    </border>
    <border>
      <left style="thin">
        <color indexed="64"/>
      </left>
      <right/>
      <top style="thin">
        <color indexed="64"/>
      </top>
      <bottom style="thin">
        <color indexed="64"/>
      </bottom>
      <diagonal/>
    </border>
    <border>
      <left/>
      <right/>
      <top style="thin">
        <color rgb="FF414042"/>
      </top>
      <bottom style="thin">
        <color theme="0"/>
      </bottom>
      <diagonal/>
    </border>
    <border>
      <left/>
      <right style="thin">
        <color rgb="FF414042"/>
      </right>
      <top style="thin">
        <color rgb="FF414042"/>
      </top>
      <bottom style="thin">
        <color theme="0"/>
      </bottom>
      <diagonal/>
    </border>
    <border>
      <left style="thin">
        <color rgb="FF414042"/>
      </left>
      <right style="thin">
        <color rgb="FF414042"/>
      </right>
      <top style="thin">
        <color rgb="FF414042"/>
      </top>
      <bottom/>
      <diagonal/>
    </border>
    <border>
      <left style="thin">
        <color theme="0"/>
      </left>
      <right style="thin">
        <color theme="0"/>
      </right>
      <top style="thin">
        <color rgb="FF414042"/>
      </top>
      <bottom style="thin">
        <color rgb="FF414042"/>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414042"/>
      </right>
      <top style="thin">
        <color rgb="FF414042"/>
      </top>
      <bottom style="thin">
        <color rgb="FF414042"/>
      </bottom>
      <diagonal/>
    </border>
    <border>
      <left style="medium">
        <color rgb="FFF57100"/>
      </left>
      <right/>
      <top/>
      <bottom/>
      <diagonal/>
    </border>
    <border>
      <left/>
      <right style="medium">
        <color indexed="64"/>
      </right>
      <top/>
      <bottom/>
      <diagonal/>
    </border>
    <border>
      <left style="medium">
        <color rgb="FF70A000"/>
      </left>
      <right/>
      <top/>
      <bottom/>
      <diagonal/>
    </border>
    <border>
      <left style="thin">
        <color rgb="FF3C9287"/>
      </left>
      <right style="thin">
        <color rgb="FF70A000"/>
      </right>
      <top style="thin">
        <color rgb="FF3C9287"/>
      </top>
      <bottom style="thin">
        <color rgb="FF3C9287"/>
      </bottom>
      <diagonal/>
    </border>
    <border>
      <left style="thin">
        <color rgb="FF70A000"/>
      </left>
      <right style="thin">
        <color rgb="FF70A000"/>
      </right>
      <top style="thin">
        <color rgb="FF3C9287"/>
      </top>
      <bottom style="thin">
        <color rgb="FF3C9287"/>
      </bottom>
      <diagonal/>
    </border>
    <border>
      <left style="thin">
        <color rgb="FF70A000"/>
      </left>
      <right style="medium">
        <color indexed="64"/>
      </right>
      <top style="thin">
        <color rgb="FF3C9287"/>
      </top>
      <bottom style="thin">
        <color rgb="FF3C9287"/>
      </bottom>
      <diagonal/>
    </border>
    <border>
      <left style="medium">
        <color rgb="FF70A000"/>
      </left>
      <right style="thin">
        <color rgb="FF70A000"/>
      </right>
      <top style="thin">
        <color rgb="FF3C9287"/>
      </top>
      <bottom style="thin">
        <color rgb="FF3C9287"/>
      </bottom>
      <diagonal/>
    </border>
    <border>
      <left style="thin">
        <color rgb="FF70A000"/>
      </left>
      <right style="thin">
        <color rgb="FF3C9287"/>
      </right>
      <top style="thin">
        <color rgb="FF3C9287"/>
      </top>
      <bottom style="thin">
        <color rgb="FF3C9287"/>
      </bottom>
      <diagonal/>
    </border>
    <border>
      <left style="thin">
        <color rgb="FF45A082"/>
      </left>
      <right/>
      <top/>
      <bottom/>
      <diagonal/>
    </border>
    <border>
      <left style="thin">
        <color indexed="64"/>
      </left>
      <right style="thin">
        <color theme="0"/>
      </right>
      <top style="thin">
        <color theme="0"/>
      </top>
      <bottom/>
      <diagonal/>
    </border>
    <border>
      <left style="thin">
        <color indexed="64"/>
      </left>
      <right/>
      <top style="thin">
        <color rgb="FF414042"/>
      </top>
      <bottom style="thin">
        <color theme="0"/>
      </bottom>
      <diagonal/>
    </border>
    <border>
      <left style="thin">
        <color indexed="64"/>
      </left>
      <right style="thin">
        <color theme="0"/>
      </right>
      <top/>
      <bottom/>
      <diagonal/>
    </border>
    <border>
      <left style="thin">
        <color rgb="FF414042"/>
      </left>
      <right style="thin">
        <color rgb="FF414042"/>
      </right>
      <top/>
      <bottom style="thin">
        <color rgb="FF414042"/>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rgb="FF414042"/>
      </right>
      <top style="thin">
        <color rgb="FF414042"/>
      </top>
      <bottom style="thin">
        <color rgb="FF414042"/>
      </bottom>
      <diagonal/>
    </border>
    <border>
      <left style="medium">
        <color indexed="64"/>
      </left>
      <right/>
      <top style="thin">
        <color rgb="FF414042"/>
      </top>
      <bottom style="thin">
        <color rgb="FF414042"/>
      </bottom>
      <diagonal/>
    </border>
    <border>
      <left style="thin">
        <color rgb="FF414042"/>
      </left>
      <right style="medium">
        <color indexed="64"/>
      </right>
      <top style="thin">
        <color rgb="FF414042"/>
      </top>
      <bottom style="thin">
        <color rgb="FF414042"/>
      </bottom>
      <diagonal/>
    </border>
    <border>
      <left style="thin">
        <color theme="0"/>
      </left>
      <right style="medium">
        <color indexed="64"/>
      </right>
      <top style="thin">
        <color rgb="FF414042"/>
      </top>
      <bottom style="thin">
        <color rgb="FF414042"/>
      </bottom>
      <diagonal/>
    </border>
    <border>
      <left style="thin">
        <color indexed="64"/>
      </left>
      <right style="medium">
        <color theme="0"/>
      </right>
      <top style="thin">
        <color rgb="FF414042"/>
      </top>
      <bottom style="thin">
        <color rgb="FF414042"/>
      </bottom>
      <diagonal/>
    </border>
    <border>
      <left style="thin">
        <color rgb="FF414042"/>
      </left>
      <right/>
      <top style="thin">
        <color rgb="FF414042"/>
      </top>
      <bottom/>
      <diagonal/>
    </border>
    <border>
      <left style="medium">
        <color theme="0"/>
      </left>
      <right style="medium">
        <color theme="0"/>
      </right>
      <top style="thin">
        <color rgb="FF414042"/>
      </top>
      <bottom style="thin">
        <color rgb="FF414042"/>
      </bottom>
      <diagonal/>
    </border>
    <border>
      <left/>
      <right/>
      <top style="thin">
        <color rgb="FF414042"/>
      </top>
      <bottom/>
      <diagonal/>
    </border>
    <border>
      <left style="thin">
        <color indexed="64"/>
      </left>
      <right style="thin">
        <color indexed="64"/>
      </right>
      <top style="thin">
        <color indexed="64"/>
      </top>
      <bottom/>
      <diagonal/>
    </border>
    <border>
      <left style="medium">
        <color theme="0"/>
      </left>
      <right style="thin">
        <color rgb="FF414042"/>
      </right>
      <top style="thin">
        <color rgb="FF414042"/>
      </top>
      <bottom style="thin">
        <color rgb="FF414042"/>
      </bottom>
      <diagonal/>
    </border>
  </borders>
  <cellStyleXfs count="2">
    <xf numFmtId="0" fontId="0" fillId="0" borderId="0"/>
    <xf numFmtId="44" fontId="1" fillId="0" borderId="0" applyFont="0" applyFill="0" applyBorder="0" applyAlignment="0" applyProtection="0"/>
  </cellStyleXfs>
  <cellXfs count="312">
    <xf numFmtId="0" fontId="0" fillId="0" borderId="0" xfId="0"/>
    <xf numFmtId="0" fontId="2" fillId="0" borderId="0" xfId="0" applyFont="1"/>
    <xf numFmtId="0" fontId="7" fillId="2" borderId="0" xfId="0" applyFont="1" applyFill="1" applyAlignment="1">
      <alignment vertical="center"/>
    </xf>
    <xf numFmtId="0" fontId="2" fillId="2" borderId="0" xfId="0" applyFont="1" applyFill="1"/>
    <xf numFmtId="0" fontId="3" fillId="2" borderId="0" xfId="0" applyFont="1" applyFill="1" applyAlignment="1">
      <alignment wrapText="1"/>
    </xf>
    <xf numFmtId="0" fontId="2" fillId="2" borderId="0" xfId="0" applyFont="1" applyFill="1" applyBorder="1" applyAlignment="1">
      <alignment vertical="top" wrapText="1"/>
    </xf>
    <xf numFmtId="0" fontId="2" fillId="2" borderId="0" xfId="0" applyFont="1" applyFill="1" applyAlignment="1">
      <alignment vertical="center"/>
    </xf>
    <xf numFmtId="0" fontId="2" fillId="4" borderId="0" xfId="0" applyFont="1" applyFill="1"/>
    <xf numFmtId="43" fontId="2" fillId="0" borderId="5" xfId="1" applyNumberFormat="1" applyFont="1" applyBorder="1"/>
    <xf numFmtId="43" fontId="2" fillId="0" borderId="0" xfId="1" applyNumberFormat="1" applyFont="1" applyBorder="1"/>
    <xf numFmtId="43" fontId="2" fillId="0" borderId="6" xfId="1" applyNumberFormat="1" applyFont="1" applyBorder="1"/>
    <xf numFmtId="0" fontId="3" fillId="2" borderId="0" xfId="0" applyFont="1" applyFill="1"/>
    <xf numFmtId="0" fontId="9" fillId="4" borderId="0" xfId="0" applyFont="1" applyFill="1"/>
    <xf numFmtId="0" fontId="2" fillId="0" borderId="0" xfId="0" applyFont="1" applyFill="1"/>
    <xf numFmtId="0" fontId="2" fillId="0" borderId="0" xfId="0" applyFont="1" applyFill="1" applyBorder="1"/>
    <xf numFmtId="0" fontId="9" fillId="4" borderId="0" xfId="0" applyFont="1" applyFill="1" applyAlignment="1">
      <alignment vertical="center"/>
    </xf>
    <xf numFmtId="0" fontId="2" fillId="4" borderId="0" xfId="0" applyFont="1" applyFill="1" applyAlignment="1">
      <alignment vertical="center"/>
    </xf>
    <xf numFmtId="0" fontId="2" fillId="0" borderId="0" xfId="0" applyFont="1" applyFill="1" applyAlignment="1">
      <alignment vertical="center"/>
    </xf>
    <xf numFmtId="0" fontId="6" fillId="5" borderId="0" xfId="0" applyFont="1" applyFill="1"/>
    <xf numFmtId="43" fontId="2" fillId="5" borderId="5" xfId="1" applyNumberFormat="1" applyFont="1" applyFill="1" applyBorder="1"/>
    <xf numFmtId="43" fontId="2" fillId="5" borderId="0" xfId="1" applyNumberFormat="1" applyFont="1" applyFill="1" applyBorder="1"/>
    <xf numFmtId="43" fontId="2" fillId="5" borderId="6" xfId="1" applyNumberFormat="1" applyFont="1" applyFill="1" applyBorder="1"/>
    <xf numFmtId="43" fontId="2" fillId="0" borderId="0" xfId="1" applyNumberFormat="1" applyFont="1" applyFill="1" applyBorder="1"/>
    <xf numFmtId="0" fontId="2" fillId="4" borderId="0" xfId="0" applyFont="1" applyFill="1" applyBorder="1" applyAlignment="1">
      <alignment vertical="center"/>
    </xf>
    <xf numFmtId="0" fontId="12" fillId="2" borderId="0" xfId="0" applyFont="1" applyFill="1" applyProtection="1"/>
    <xf numFmtId="0" fontId="13" fillId="2" borderId="0" xfId="0" applyFont="1" applyFill="1" applyProtection="1"/>
    <xf numFmtId="0" fontId="12" fillId="2" borderId="0" xfId="0" applyFont="1" applyFill="1" applyAlignment="1" applyProtection="1"/>
    <xf numFmtId="0" fontId="13" fillId="2" borderId="0" xfId="0" applyFont="1" applyFill="1" applyAlignment="1" applyProtection="1"/>
    <xf numFmtId="0" fontId="14" fillId="2" borderId="0" xfId="0" applyFont="1" applyFill="1" applyAlignment="1" applyProtection="1">
      <alignment vertical="center"/>
    </xf>
    <xf numFmtId="0" fontId="15" fillId="2" borderId="0" xfId="0" applyFont="1" applyFill="1" applyAlignment="1" applyProtection="1">
      <alignment vertical="center"/>
    </xf>
    <xf numFmtId="0" fontId="16" fillId="2" borderId="0" xfId="0" applyFont="1" applyFill="1" applyProtection="1"/>
    <xf numFmtId="0" fontId="12" fillId="2" borderId="0" xfId="0" applyFont="1" applyFill="1" applyAlignment="1" applyProtection="1">
      <alignment vertical="top"/>
    </xf>
    <xf numFmtId="0" fontId="20" fillId="2" borderId="0" xfId="0" applyFont="1" applyFill="1" applyAlignment="1" applyProtection="1">
      <alignment vertical="center"/>
    </xf>
    <xf numFmtId="0" fontId="21"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22" fillId="2" borderId="0" xfId="0" applyFont="1" applyFill="1" applyAlignment="1" applyProtection="1">
      <alignment vertical="center"/>
    </xf>
    <xf numFmtId="0" fontId="21" fillId="2" borderId="0" xfId="0" applyFont="1" applyFill="1" applyAlignment="1" applyProtection="1">
      <alignment vertical="center"/>
    </xf>
    <xf numFmtId="0" fontId="23" fillId="2" borderId="0" xfId="0" applyFont="1" applyFill="1" applyAlignment="1" applyProtection="1">
      <alignment vertical="center"/>
    </xf>
    <xf numFmtId="0" fontId="18" fillId="2" borderId="0" xfId="0" applyFont="1" applyFill="1" applyAlignment="1" applyProtection="1">
      <alignment vertical="top"/>
    </xf>
    <xf numFmtId="0" fontId="24" fillId="2" borderId="0" xfId="0" applyFont="1" applyFill="1" applyBorder="1" applyProtection="1"/>
    <xf numFmtId="0" fontId="25" fillId="2" borderId="0" xfId="0" applyFont="1" applyFill="1" applyBorder="1" applyProtection="1"/>
    <xf numFmtId="0" fontId="24" fillId="2" borderId="0" xfId="0" applyFont="1" applyFill="1" applyBorder="1" applyAlignment="1" applyProtection="1">
      <alignment horizontal="left" vertical="top" wrapText="1"/>
    </xf>
    <xf numFmtId="0" fontId="12" fillId="2" borderId="0" xfId="0" applyFont="1" applyFill="1" applyProtection="1"/>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34" fillId="2" borderId="0" xfId="0" applyFont="1" applyFill="1" applyAlignment="1" applyProtection="1">
      <alignment horizontal="center"/>
    </xf>
    <xf numFmtId="0" fontId="35" fillId="2" borderId="0" xfId="0" applyFont="1" applyFill="1" applyAlignment="1" applyProtection="1">
      <alignment horizontal="center"/>
    </xf>
    <xf numFmtId="0" fontId="36" fillId="2" borderId="0" xfId="0" applyFont="1" applyFill="1" applyProtection="1"/>
    <xf numFmtId="1" fontId="34" fillId="2" borderId="0" xfId="0" applyNumberFormat="1" applyFont="1" applyFill="1" applyBorder="1" applyAlignment="1" applyProtection="1">
      <alignment horizontal="center"/>
    </xf>
    <xf numFmtId="0" fontId="34" fillId="2" borderId="0" xfId="0" applyFont="1" applyFill="1" applyProtection="1"/>
    <xf numFmtId="0" fontId="1" fillId="2" borderId="0" xfId="0" applyFont="1" applyFill="1" applyBorder="1" applyProtection="1"/>
    <xf numFmtId="0" fontId="31" fillId="2" borderId="0" xfId="0" applyFont="1" applyFill="1" applyBorder="1" applyAlignment="1" applyProtection="1">
      <alignment horizontal="left" vertical="center" indent="1"/>
    </xf>
    <xf numFmtId="0" fontId="38" fillId="2" borderId="0" xfId="0" applyFont="1" applyFill="1" applyBorder="1" applyAlignment="1" applyProtection="1">
      <alignment horizontal="left" vertical="center" indent="1"/>
    </xf>
    <xf numFmtId="0" fontId="29" fillId="2" borderId="0" xfId="0" applyFont="1" applyFill="1" applyBorder="1" applyAlignment="1" applyProtection="1"/>
    <xf numFmtId="0" fontId="36" fillId="2" borderId="0" xfId="0" applyFont="1" applyFill="1" applyBorder="1" applyProtection="1"/>
    <xf numFmtId="0" fontId="29" fillId="2" borderId="0" xfId="0" applyFont="1" applyFill="1" applyAlignment="1" applyProtection="1"/>
    <xf numFmtId="0" fontId="40" fillId="2" borderId="0" xfId="0" applyFont="1" applyFill="1" applyProtection="1"/>
    <xf numFmtId="0" fontId="35" fillId="2" borderId="0" xfId="0" applyFont="1" applyFill="1" applyBorder="1" applyProtection="1"/>
    <xf numFmtId="164" fontId="36" fillId="2" borderId="13" xfId="0" quotePrefix="1" applyNumberFormat="1" applyFont="1" applyFill="1" applyBorder="1" applyAlignment="1" applyProtection="1">
      <alignment horizontal="center" vertical="center"/>
    </xf>
    <xf numFmtId="0" fontId="36" fillId="2" borderId="0" xfId="0" applyFont="1" applyFill="1" applyAlignment="1" applyProtection="1">
      <alignment vertical="top"/>
    </xf>
    <xf numFmtId="164" fontId="36" fillId="10" borderId="13" xfId="0" quotePrefix="1" applyNumberFormat="1" applyFont="1" applyFill="1" applyBorder="1" applyAlignment="1" applyProtection="1">
      <alignment horizontal="center" vertical="center"/>
    </xf>
    <xf numFmtId="0" fontId="35" fillId="2" borderId="0" xfId="0" applyFont="1" applyFill="1" applyAlignment="1" applyProtection="1">
      <alignment horizontal="left" vertical="top" wrapText="1"/>
    </xf>
    <xf numFmtId="0" fontId="35" fillId="2" borderId="0" xfId="0" applyFont="1" applyFill="1" applyAlignment="1" applyProtection="1">
      <alignment vertical="top"/>
    </xf>
    <xf numFmtId="0" fontId="35" fillId="2" borderId="0" xfId="0" applyFont="1" applyFill="1" applyProtection="1"/>
    <xf numFmtId="0" fontId="30" fillId="2" borderId="0" xfId="0" applyFont="1" applyFill="1" applyAlignment="1" applyProtection="1">
      <alignment vertical="center"/>
    </xf>
    <xf numFmtId="0" fontId="45" fillId="2" borderId="0" xfId="0" applyFont="1" applyFill="1" applyAlignment="1" applyProtection="1">
      <alignment vertical="center"/>
    </xf>
    <xf numFmtId="0" fontId="44" fillId="2" borderId="0" xfId="0" applyFont="1" applyFill="1" applyBorder="1" applyAlignment="1" applyProtection="1">
      <alignment vertical="center"/>
    </xf>
    <xf numFmtId="0" fontId="44" fillId="2" borderId="0" xfId="0" applyFont="1" applyFill="1" applyAlignment="1" applyProtection="1">
      <alignment vertical="center"/>
    </xf>
    <xf numFmtId="0" fontId="46" fillId="2" borderId="0" xfId="0" applyFont="1" applyFill="1" applyAlignment="1" applyProtection="1">
      <alignment vertical="center"/>
    </xf>
    <xf numFmtId="0" fontId="44" fillId="2" borderId="0" xfId="0" applyFont="1" applyFill="1" applyAlignment="1" applyProtection="1">
      <alignment vertical="top"/>
    </xf>
    <xf numFmtId="0" fontId="47" fillId="8" borderId="13" xfId="0" quotePrefix="1" applyFont="1" applyFill="1" applyBorder="1" applyAlignment="1" applyProtection="1">
      <alignment horizontal="center" vertical="center"/>
    </xf>
    <xf numFmtId="0" fontId="48" fillId="2" borderId="0" xfId="0" applyFont="1" applyFill="1" applyAlignment="1" applyProtection="1">
      <alignment horizontal="center" vertical="center"/>
    </xf>
    <xf numFmtId="0" fontId="37" fillId="2" borderId="0" xfId="0" applyFont="1" applyFill="1" applyBorder="1" applyProtection="1"/>
    <xf numFmtId="0" fontId="41" fillId="2" borderId="0" xfId="0" applyFont="1" applyFill="1" applyAlignment="1">
      <alignment vertical="center"/>
    </xf>
    <xf numFmtId="0" fontId="1" fillId="0" borderId="0" xfId="0" applyFont="1" applyAlignment="1"/>
    <xf numFmtId="0" fontId="49" fillId="2" borderId="0" xfId="0" applyFont="1" applyFill="1" applyAlignment="1" applyProtection="1">
      <alignment vertical="center" wrapText="1"/>
    </xf>
    <xf numFmtId="0" fontId="50" fillId="2" borderId="0" xfId="0" applyFont="1" applyFill="1" applyAlignment="1" applyProtection="1">
      <alignment vertical="center"/>
    </xf>
    <xf numFmtId="0" fontId="52" fillId="2" borderId="0" xfId="0" applyFont="1" applyFill="1" applyProtection="1"/>
    <xf numFmtId="0" fontId="48" fillId="2" borderId="0" xfId="0" applyFont="1" applyFill="1" applyProtection="1"/>
    <xf numFmtId="0" fontId="31" fillId="2" borderId="0" xfId="0" applyFont="1" applyFill="1" applyBorder="1" applyAlignment="1" applyProtection="1">
      <alignment horizontal="left"/>
    </xf>
    <xf numFmtId="0" fontId="38" fillId="2" borderId="0" xfId="0" applyFont="1" applyFill="1" applyBorder="1" applyAlignment="1" applyProtection="1">
      <alignment horizontal="left"/>
    </xf>
    <xf numFmtId="0" fontId="34" fillId="2" borderId="0" xfId="0" applyFont="1" applyFill="1" applyAlignment="1" applyProtection="1"/>
    <xf numFmtId="0" fontId="36" fillId="2" borderId="0" xfId="0" applyFont="1" applyFill="1" applyBorder="1" applyAlignment="1" applyProtection="1"/>
    <xf numFmtId="0" fontId="38" fillId="2" borderId="0" xfId="0" applyFont="1" applyFill="1" applyBorder="1" applyAlignment="1" applyProtection="1">
      <alignment vertical="center"/>
    </xf>
    <xf numFmtId="0" fontId="38" fillId="2" borderId="0" xfId="0" applyFont="1" applyFill="1" applyAlignment="1" applyProtection="1">
      <alignment vertical="center"/>
    </xf>
    <xf numFmtId="164" fontId="36" fillId="10" borderId="23" xfId="0" quotePrefix="1" applyNumberFormat="1" applyFont="1" applyFill="1" applyBorder="1" applyAlignment="1" applyProtection="1">
      <alignment horizontal="center" vertical="center"/>
    </xf>
    <xf numFmtId="0" fontId="44" fillId="2" borderId="0" xfId="0" applyFont="1" applyFill="1" applyBorder="1" applyAlignment="1" applyProtection="1">
      <alignment horizontal="left" vertical="top"/>
    </xf>
    <xf numFmtId="9" fontId="34" fillId="2" borderId="0" xfId="0" applyNumberFormat="1" applyFont="1" applyFill="1" applyBorder="1" applyAlignment="1" applyProtection="1">
      <alignment horizontal="center" vertical="top"/>
    </xf>
    <xf numFmtId="0" fontId="34" fillId="2" borderId="0" xfId="0" applyFont="1" applyFill="1" applyAlignment="1" applyProtection="1">
      <alignment vertical="top"/>
    </xf>
    <xf numFmtId="6" fontId="33" fillId="2" borderId="13" xfId="0" quotePrefix="1" applyNumberFormat="1" applyFont="1" applyFill="1" applyBorder="1" applyAlignment="1" applyProtection="1">
      <alignment horizontal="center" vertical="center"/>
    </xf>
    <xf numFmtId="0" fontId="33" fillId="8" borderId="13" xfId="0" quotePrefix="1" applyFont="1" applyFill="1" applyBorder="1" applyAlignment="1" applyProtection="1">
      <alignment horizontal="center" vertical="center"/>
    </xf>
    <xf numFmtId="165" fontId="2" fillId="0" borderId="0" xfId="0" quotePrefix="1" applyNumberFormat="1" applyFont="1" applyAlignment="1">
      <alignment horizontal="left"/>
    </xf>
    <xf numFmtId="43" fontId="2" fillId="0" borderId="5" xfId="1" applyNumberFormat="1" applyFont="1" applyFill="1" applyBorder="1"/>
    <xf numFmtId="43" fontId="2" fillId="0" borderId="6" xfId="1" applyNumberFormat="1" applyFont="1" applyFill="1" applyBorder="1"/>
    <xf numFmtId="0" fontId="9" fillId="0" borderId="0" xfId="0" applyFont="1" applyFill="1"/>
    <xf numFmtId="0" fontId="5" fillId="0" borderId="0" xfId="0" applyFont="1" applyFill="1" applyAlignment="1">
      <alignment vertical="center"/>
    </xf>
    <xf numFmtId="0" fontId="0" fillId="0" borderId="0" xfId="0" applyAlignment="1"/>
    <xf numFmtId="0" fontId="29" fillId="2" borderId="0" xfId="0" applyFont="1" applyFill="1" applyBorder="1" applyAlignment="1" applyProtection="1">
      <alignment horizontal="left" indent="18"/>
    </xf>
    <xf numFmtId="0" fontId="29" fillId="2" borderId="0" xfId="0" applyFont="1" applyFill="1" applyAlignment="1" applyProtection="1">
      <alignment horizontal="left" indent="18"/>
    </xf>
    <xf numFmtId="0" fontId="1" fillId="0" borderId="0" xfId="0" applyFont="1" applyFill="1" applyBorder="1" applyAlignment="1">
      <alignment vertical="center"/>
    </xf>
    <xf numFmtId="0" fontId="31" fillId="2" borderId="0" xfId="0" applyFont="1" applyFill="1" applyBorder="1" applyAlignment="1" applyProtection="1">
      <alignment horizontal="center"/>
    </xf>
    <xf numFmtId="0" fontId="12" fillId="2" borderId="0" xfId="0" applyFont="1" applyFill="1" applyProtection="1"/>
    <xf numFmtId="0" fontId="27" fillId="2" borderId="0" xfId="0" applyFont="1" applyFill="1" applyBorder="1" applyAlignment="1" applyProtection="1">
      <alignment horizontal="left" vertical="top" wrapText="1"/>
    </xf>
    <xf numFmtId="0" fontId="1" fillId="0" borderId="0" xfId="0" applyFont="1" applyBorder="1" applyAlignment="1"/>
    <xf numFmtId="14" fontId="2" fillId="0" borderId="0" xfId="0" quotePrefix="1" applyNumberFormat="1" applyFont="1" applyAlignment="1">
      <alignment horizontal="left"/>
    </xf>
    <xf numFmtId="0" fontId="29" fillId="2" borderId="0" xfId="0" applyFont="1" applyFill="1" applyBorder="1" applyAlignment="1" applyProtection="1">
      <alignment horizontal="left"/>
    </xf>
    <xf numFmtId="0" fontId="29" fillId="2" borderId="0" xfId="0" applyFont="1" applyFill="1" applyAlignment="1" applyProtection="1">
      <alignment horizontal="left"/>
    </xf>
    <xf numFmtId="0" fontId="39" fillId="0" borderId="0" xfId="0" applyFont="1" applyFill="1" applyBorder="1" applyAlignment="1" applyProtection="1">
      <alignment horizontal="center" vertical="center" wrapText="1"/>
    </xf>
    <xf numFmtId="0" fontId="44" fillId="2" borderId="0" xfId="0" applyFont="1" applyFill="1" applyBorder="1" applyAlignment="1" applyProtection="1">
      <alignment horizontal="left"/>
    </xf>
    <xf numFmtId="0" fontId="32" fillId="2" borderId="0" xfId="0" applyFont="1" applyFill="1" applyBorder="1" applyAlignment="1" applyProtection="1"/>
    <xf numFmtId="0" fontId="1" fillId="0" borderId="0" xfId="0" applyFont="1" applyAlignment="1"/>
    <xf numFmtId="0" fontId="1" fillId="0" borderId="0" xfId="0" applyFont="1" applyFill="1" applyBorder="1" applyAlignment="1"/>
    <xf numFmtId="0" fontId="44" fillId="6" borderId="14" xfId="0" applyFont="1" applyFill="1" applyBorder="1" applyAlignment="1" applyProtection="1">
      <alignment horizontal="center" vertical="center"/>
    </xf>
    <xf numFmtId="0" fontId="44" fillId="6" borderId="16" xfId="0" applyFont="1" applyFill="1" applyBorder="1" applyAlignment="1" applyProtection="1">
      <alignment horizontal="center" vertical="center"/>
    </xf>
    <xf numFmtId="0" fontId="44" fillId="12" borderId="15" xfId="0" applyFont="1" applyFill="1" applyBorder="1" applyAlignment="1" applyProtection="1">
      <alignment horizontal="center" vertical="center"/>
    </xf>
    <xf numFmtId="0" fontId="44" fillId="12" borderId="16" xfId="0" applyFont="1" applyFill="1" applyBorder="1" applyAlignment="1" applyProtection="1">
      <alignment horizontal="center" vertical="center"/>
    </xf>
    <xf numFmtId="164" fontId="42" fillId="12" borderId="13" xfId="0" applyNumberFormat="1" applyFont="1" applyFill="1" applyBorder="1" applyAlignment="1" applyProtection="1">
      <alignment horizontal="center" vertical="center"/>
    </xf>
    <xf numFmtId="164" fontId="56" fillId="12" borderId="17" xfId="0" applyNumberFormat="1" applyFont="1" applyFill="1" applyBorder="1" applyAlignment="1" applyProtection="1">
      <alignment horizontal="center" vertical="center"/>
    </xf>
    <xf numFmtId="164" fontId="53" fillId="6" borderId="24" xfId="0" applyNumberFormat="1" applyFont="1" applyFill="1" applyBorder="1" applyAlignment="1" applyProtection="1">
      <alignment horizontal="center" vertical="center"/>
    </xf>
    <xf numFmtId="164" fontId="53" fillId="6" borderId="17" xfId="0" applyNumberFormat="1" applyFont="1" applyFill="1" applyBorder="1" applyAlignment="1" applyProtection="1">
      <alignment horizontal="center" vertical="center"/>
    </xf>
    <xf numFmtId="0" fontId="44" fillId="6" borderId="8" xfId="0" applyFont="1" applyFill="1" applyBorder="1" applyAlignment="1" applyProtection="1">
      <alignment horizontal="center" vertical="center"/>
    </xf>
    <xf numFmtId="0" fontId="44" fillId="6" borderId="9" xfId="0" applyFont="1" applyFill="1" applyBorder="1" applyAlignment="1" applyProtection="1">
      <alignment horizontal="center" vertical="center"/>
    </xf>
    <xf numFmtId="164" fontId="42" fillId="6" borderId="19" xfId="0" applyNumberFormat="1" applyFont="1" applyFill="1" applyBorder="1" applyAlignment="1" applyProtection="1">
      <alignment horizontal="center" vertical="center"/>
    </xf>
    <xf numFmtId="0" fontId="1" fillId="0" borderId="0" xfId="0" applyFont="1" applyFill="1" applyBorder="1" applyAlignment="1">
      <alignment vertical="top"/>
    </xf>
    <xf numFmtId="1" fontId="32" fillId="2" borderId="11" xfId="0" applyNumberFormat="1" applyFont="1" applyFill="1" applyBorder="1" applyAlignment="1" applyProtection="1">
      <alignment horizontal="center"/>
      <protection locked="0"/>
    </xf>
    <xf numFmtId="1" fontId="32" fillId="2" borderId="12" xfId="0" applyNumberFormat="1" applyFont="1" applyFill="1" applyBorder="1" applyAlignment="1" applyProtection="1">
      <alignment horizontal="center"/>
      <protection locked="0"/>
    </xf>
    <xf numFmtId="0" fontId="3" fillId="2" borderId="40" xfId="0" applyFont="1" applyFill="1" applyBorder="1"/>
    <xf numFmtId="0" fontId="44" fillId="6" borderId="41" xfId="0" applyFont="1" applyFill="1" applyBorder="1" applyAlignment="1" applyProtection="1">
      <alignment horizontal="center" vertical="center"/>
    </xf>
    <xf numFmtId="0" fontId="44" fillId="6" borderId="43" xfId="0" applyFont="1" applyFill="1" applyBorder="1" applyAlignment="1" applyProtection="1">
      <alignment horizontal="center" vertical="center"/>
    </xf>
    <xf numFmtId="9" fontId="18" fillId="2" borderId="0" xfId="0" applyNumberFormat="1" applyFont="1" applyFill="1" applyBorder="1" applyAlignment="1" applyProtection="1">
      <alignment horizontal="center" vertical="top"/>
    </xf>
    <xf numFmtId="0" fontId="22" fillId="2" borderId="0" xfId="0" applyFont="1" applyFill="1" applyBorder="1" applyAlignment="1" applyProtection="1">
      <alignment horizontal="left" vertical="top"/>
    </xf>
    <xf numFmtId="0" fontId="12" fillId="2" borderId="0" xfId="0" applyFont="1" applyFill="1" applyAlignment="1" applyProtection="1"/>
    <xf numFmtId="0" fontId="35" fillId="2" borderId="0" xfId="0" applyFont="1" applyFill="1" applyAlignment="1" applyProtection="1">
      <alignment horizontal="left" vertical="top" wrapText="1"/>
    </xf>
    <xf numFmtId="0" fontId="12" fillId="2" borderId="0" xfId="0" applyFont="1" applyFill="1" applyProtection="1"/>
    <xf numFmtId="0" fontId="1" fillId="0" borderId="0" xfId="0" applyFont="1" applyAlignment="1"/>
    <xf numFmtId="43" fontId="2" fillId="3" borderId="5" xfId="1" applyNumberFormat="1" applyFont="1" applyFill="1" applyBorder="1"/>
    <xf numFmtId="43" fontId="2" fillId="3" borderId="0" xfId="1" applyNumberFormat="1" applyFont="1" applyFill="1" applyBorder="1"/>
    <xf numFmtId="43" fontId="2" fillId="3" borderId="6" xfId="1" applyNumberFormat="1" applyFont="1" applyFill="1" applyBorder="1"/>
    <xf numFmtId="164" fontId="36" fillId="2" borderId="44" xfId="0" quotePrefix="1" applyNumberFormat="1" applyFont="1" applyFill="1" applyBorder="1" applyAlignment="1" applyProtection="1">
      <alignment horizontal="center" vertical="center"/>
    </xf>
    <xf numFmtId="0" fontId="44" fillId="6" borderId="45" xfId="0" applyFont="1" applyFill="1" applyBorder="1" applyAlignment="1" applyProtection="1">
      <alignment horizontal="center" vertical="center"/>
    </xf>
    <xf numFmtId="0" fontId="44" fillId="6" borderId="46" xfId="0" applyFont="1" applyFill="1" applyBorder="1" applyAlignment="1" applyProtection="1">
      <alignment horizontal="center" vertical="center"/>
    </xf>
    <xf numFmtId="0" fontId="44" fillId="6" borderId="47" xfId="0" applyFont="1" applyFill="1" applyBorder="1" applyAlignment="1" applyProtection="1">
      <alignment horizontal="center" vertical="center"/>
    </xf>
    <xf numFmtId="0" fontId="41" fillId="2" borderId="0" xfId="0" applyFont="1" applyFill="1" applyBorder="1" applyAlignment="1" applyProtection="1">
      <alignment vertical="center"/>
    </xf>
    <xf numFmtId="0" fontId="58" fillId="0" borderId="0" xfId="0" applyFont="1" applyAlignment="1">
      <alignment horizontal="center" vertical="center"/>
    </xf>
    <xf numFmtId="0" fontId="58" fillId="0" borderId="48" xfId="0" applyFont="1" applyBorder="1" applyAlignment="1">
      <alignment horizontal="center" vertical="center"/>
    </xf>
    <xf numFmtId="0" fontId="58" fillId="0" borderId="49" xfId="0" applyFont="1" applyBorder="1" applyAlignment="1">
      <alignment horizontal="center" vertical="center"/>
    </xf>
    <xf numFmtId="0" fontId="58" fillId="0" borderId="1" xfId="0" applyFont="1" applyBorder="1" applyAlignment="1">
      <alignment horizontal="center" vertical="center"/>
    </xf>
    <xf numFmtId="0" fontId="58" fillId="0" borderId="50" xfId="0" applyFont="1" applyBorder="1" applyAlignment="1">
      <alignment horizontal="center" vertical="center"/>
    </xf>
    <xf numFmtId="0" fontId="58" fillId="0" borderId="51" xfId="0" applyFont="1" applyBorder="1" applyAlignment="1">
      <alignment horizontal="center" vertical="center"/>
    </xf>
    <xf numFmtId="0" fontId="59" fillId="0" borderId="0" xfId="0" applyFont="1" applyFill="1" applyAlignment="1">
      <alignment horizontal="center"/>
    </xf>
    <xf numFmtId="164" fontId="44" fillId="6" borderId="24" xfId="0" applyNumberFormat="1" applyFont="1" applyFill="1" applyBorder="1" applyAlignment="1" applyProtection="1">
      <alignment horizontal="center" vertical="center"/>
    </xf>
    <xf numFmtId="164" fontId="44" fillId="6" borderId="17" xfId="0" applyNumberFormat="1" applyFont="1" applyFill="1" applyBorder="1" applyAlignment="1" applyProtection="1">
      <alignment horizontal="center" vertical="center"/>
    </xf>
    <xf numFmtId="0" fontId="22" fillId="2" borderId="0" xfId="0" applyFont="1" applyFill="1" applyBorder="1" applyAlignment="1" applyProtection="1">
      <alignment vertical="top"/>
    </xf>
    <xf numFmtId="0" fontId="38" fillId="2" borderId="0" xfId="0" applyFont="1" applyFill="1" applyProtection="1"/>
    <xf numFmtId="6" fontId="33" fillId="2" borderId="0" xfId="0" quotePrefix="1" applyNumberFormat="1" applyFont="1" applyFill="1" applyBorder="1" applyAlignment="1" applyProtection="1">
      <alignment horizontal="center" vertical="center"/>
    </xf>
    <xf numFmtId="6" fontId="33" fillId="8" borderId="13" xfId="0" quotePrefix="1" applyNumberFormat="1" applyFont="1" applyFill="1" applyBorder="1" applyAlignment="1" applyProtection="1">
      <alignment horizontal="center" vertical="center"/>
    </xf>
    <xf numFmtId="6" fontId="47" fillId="2" borderId="13" xfId="0" quotePrefix="1" applyNumberFormat="1" applyFont="1" applyFill="1" applyBorder="1" applyAlignment="1" applyProtection="1">
      <alignment horizontal="center" vertical="center"/>
    </xf>
    <xf numFmtId="6" fontId="47" fillId="8" borderId="13" xfId="0" quotePrefix="1" applyNumberFormat="1" applyFont="1" applyFill="1" applyBorder="1" applyAlignment="1" applyProtection="1">
      <alignment horizontal="center" vertical="center"/>
    </xf>
    <xf numFmtId="6" fontId="33" fillId="2" borderId="18"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57" xfId="0" quotePrefix="1" applyNumberFormat="1" applyFont="1" applyFill="1" applyBorder="1" applyAlignment="1" applyProtection="1">
      <alignment horizontal="center" vertical="center"/>
    </xf>
    <xf numFmtId="6" fontId="33" fillId="2" borderId="57" xfId="0" quotePrefix="1" applyNumberFormat="1" applyFont="1" applyFill="1" applyBorder="1" applyAlignment="1" applyProtection="1">
      <alignment horizontal="center" vertical="center"/>
    </xf>
    <xf numFmtId="0" fontId="33" fillId="8" borderId="18" xfId="0" quotePrefix="1" applyFont="1" applyFill="1" applyBorder="1" applyAlignment="1" applyProtection="1">
      <alignment horizontal="center" vertical="center"/>
    </xf>
    <xf numFmtId="0" fontId="33" fillId="8" borderId="55" xfId="0" quotePrefix="1" applyFont="1" applyFill="1" applyBorder="1" applyAlignment="1" applyProtection="1">
      <alignment horizontal="center" vertical="center"/>
    </xf>
    <xf numFmtId="6" fontId="33" fillId="2" borderId="55" xfId="0" quotePrefix="1" applyNumberFormat="1" applyFont="1" applyFill="1" applyBorder="1" applyAlignment="1" applyProtection="1">
      <alignment horizontal="center" vertical="center"/>
    </xf>
    <xf numFmtId="0" fontId="44" fillId="6" borderId="58" xfId="0" applyFont="1" applyFill="1" applyBorder="1" applyAlignment="1" applyProtection="1">
      <alignment horizontal="center" vertical="center"/>
    </xf>
    <xf numFmtId="0" fontId="32" fillId="2" borderId="0" xfId="0" applyFont="1" applyFill="1" applyBorder="1" applyAlignment="1" applyProtection="1">
      <alignment vertical="top" wrapText="1"/>
    </xf>
    <xf numFmtId="0" fontId="44" fillId="6" borderId="59" xfId="0" applyFont="1" applyFill="1" applyBorder="1" applyAlignment="1" applyProtection="1">
      <alignment horizontal="center" vertical="center"/>
    </xf>
    <xf numFmtId="0" fontId="44" fillId="6" borderId="61" xfId="0" applyFont="1" applyFill="1" applyBorder="1" applyAlignment="1" applyProtection="1">
      <alignment horizontal="center" vertical="center"/>
    </xf>
    <xf numFmtId="0" fontId="44" fillId="12" borderId="61" xfId="0" applyFont="1" applyFill="1" applyBorder="1" applyAlignment="1" applyProtection="1">
      <alignment horizontal="center" vertical="center"/>
    </xf>
    <xf numFmtId="0" fontId="44" fillId="12" borderId="64" xfId="0" applyFont="1" applyFill="1" applyBorder="1" applyAlignment="1" applyProtection="1">
      <alignment horizontal="center" vertical="center"/>
    </xf>
    <xf numFmtId="0" fontId="9" fillId="0" borderId="0" xfId="0" applyFont="1" applyFill="1" applyAlignment="1">
      <alignment vertical="center"/>
    </xf>
    <xf numFmtId="43" fontId="2" fillId="13" borderId="5" xfId="1" applyNumberFormat="1" applyFont="1" applyFill="1" applyBorder="1"/>
    <xf numFmtId="43" fontId="2" fillId="13" borderId="0" xfId="1" applyNumberFormat="1" applyFont="1" applyFill="1" applyBorder="1"/>
    <xf numFmtId="43" fontId="2" fillId="13" borderId="6" xfId="1" applyNumberFormat="1" applyFont="1" applyFill="1" applyBorder="1"/>
    <xf numFmtId="0" fontId="55" fillId="2" borderId="1" xfId="0" applyFont="1" applyFill="1" applyBorder="1" applyAlignment="1">
      <alignment horizontal="left" vertical="center" wrapText="1" indent="9"/>
    </xf>
    <xf numFmtId="0" fontId="10" fillId="2" borderId="1" xfId="0" applyFont="1" applyFill="1" applyBorder="1" applyAlignment="1">
      <alignment horizontal="left" vertical="center" wrapText="1" indent="9"/>
    </xf>
    <xf numFmtId="0" fontId="7" fillId="3" borderId="2" xfId="0" applyFont="1" applyFill="1" applyBorder="1" applyAlignment="1">
      <alignment vertical="center"/>
    </xf>
    <xf numFmtId="0" fontId="7" fillId="3" borderId="3" xfId="0" applyFont="1" applyFill="1" applyBorder="1" applyAlignment="1">
      <alignment vertical="center"/>
    </xf>
    <xf numFmtId="0" fontId="7" fillId="3" borderId="4" xfId="0" applyFont="1" applyFill="1" applyBorder="1" applyAlignment="1">
      <alignment vertical="center"/>
    </xf>
    <xf numFmtId="0" fontId="8" fillId="11" borderId="34" xfId="0" applyFont="1" applyFill="1" applyBorder="1" applyAlignment="1">
      <alignment vertical="center"/>
    </xf>
    <xf numFmtId="0" fontId="8" fillId="11" borderId="0" xfId="0" applyFont="1" applyFill="1" applyBorder="1" applyAlignment="1">
      <alignment vertical="center"/>
    </xf>
    <xf numFmtId="0" fontId="4" fillId="2" borderId="38"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9" xfId="0" applyFont="1" applyFill="1" applyBorder="1" applyAlignment="1">
      <alignment horizontal="left" vertical="top" wrapText="1"/>
    </xf>
    <xf numFmtId="0" fontId="8" fillId="11" borderId="32" xfId="0" applyFont="1" applyFill="1" applyBorder="1" applyAlignment="1">
      <alignment vertical="center"/>
    </xf>
    <xf numFmtId="0" fontId="8" fillId="11" borderId="33" xfId="0" applyFont="1" applyFill="1" applyBorder="1" applyAlignment="1">
      <alignment vertical="center"/>
    </xf>
    <xf numFmtId="0" fontId="4" fillId="2" borderId="35" xfId="0" applyFont="1" applyFill="1" applyBorder="1" applyAlignment="1">
      <alignment horizontal="left" vertical="top" wrapText="1"/>
    </xf>
    <xf numFmtId="0" fontId="4" fillId="2" borderId="37" xfId="0" applyFont="1" applyFill="1" applyBorder="1" applyAlignment="1">
      <alignment horizontal="left" vertical="top" wrapText="1"/>
    </xf>
    <xf numFmtId="0" fontId="27" fillId="2" borderId="0" xfId="0" applyFont="1" applyFill="1" applyBorder="1" applyAlignment="1" applyProtection="1">
      <alignment horizontal="left" vertical="top" wrapText="1"/>
    </xf>
    <xf numFmtId="0" fontId="12" fillId="2" borderId="0" xfId="0" applyFont="1" applyFill="1" applyProtection="1"/>
    <xf numFmtId="9" fontId="18" fillId="2" borderId="0" xfId="0" applyNumberFormat="1" applyFont="1" applyFill="1" applyBorder="1" applyAlignment="1" applyProtection="1">
      <alignment horizontal="center" vertical="top"/>
    </xf>
    <xf numFmtId="0" fontId="43" fillId="7" borderId="13" xfId="0" applyFont="1" applyFill="1" applyBorder="1" applyAlignment="1" applyProtection="1">
      <alignment vertical="center"/>
    </xf>
    <xf numFmtId="0" fontId="30" fillId="9" borderId="7" xfId="0" applyFont="1" applyFill="1" applyBorder="1" applyAlignment="1" applyProtection="1">
      <alignment vertical="center"/>
    </xf>
    <xf numFmtId="0" fontId="1" fillId="9" borderId="7" xfId="0" applyFont="1" applyFill="1" applyBorder="1" applyAlignment="1">
      <alignment vertical="center"/>
    </xf>
    <xf numFmtId="0" fontId="43" fillId="7" borderId="7" xfId="0" applyFont="1" applyFill="1" applyBorder="1" applyAlignment="1" applyProtection="1">
      <alignment vertical="top" wrapText="1"/>
    </xf>
    <xf numFmtId="0" fontId="43" fillId="7" borderId="7" xfId="0" applyFont="1" applyFill="1" applyBorder="1" applyAlignment="1" applyProtection="1">
      <alignment vertical="top"/>
    </xf>
    <xf numFmtId="0" fontId="57" fillId="2" borderId="0" xfId="0" applyFont="1" applyFill="1" applyBorder="1" applyAlignment="1" applyProtection="1">
      <alignment horizontal="left" vertical="top" wrapText="1" indent="1"/>
    </xf>
    <xf numFmtId="0" fontId="1" fillId="0" borderId="0" xfId="0" applyFont="1" applyBorder="1" applyAlignment="1">
      <alignment vertical="center"/>
    </xf>
    <xf numFmtId="0" fontId="47" fillId="2" borderId="10" xfId="0" quotePrefix="1" applyFont="1" applyFill="1" applyBorder="1" applyAlignment="1" applyProtection="1">
      <alignment horizontal="left" vertical="center" wrapText="1" indent="1"/>
    </xf>
    <xf numFmtId="0" fontId="47" fillId="8" borderId="7" xfId="0" quotePrefix="1" applyFont="1" applyFill="1" applyBorder="1" applyAlignment="1" applyProtection="1">
      <alignment horizontal="left" vertical="center" wrapText="1" indent="1"/>
    </xf>
    <xf numFmtId="0" fontId="1" fillId="0" borderId="25" xfId="0" applyFont="1" applyFill="1" applyBorder="1" applyAlignment="1" applyProtection="1">
      <alignment horizontal="left" vertical="top" wrapText="1"/>
    </xf>
    <xf numFmtId="0" fontId="1" fillId="0" borderId="25" xfId="0" applyFont="1" applyFill="1" applyBorder="1" applyAlignment="1">
      <alignment horizontal="left" vertical="top" wrapText="1"/>
    </xf>
    <xf numFmtId="0" fontId="1" fillId="0" borderId="0" xfId="0" applyFont="1" applyFill="1" applyBorder="1" applyAlignment="1">
      <alignment horizontal="left" vertical="top" wrapText="1"/>
    </xf>
    <xf numFmtId="0" fontId="30" fillId="9" borderId="7" xfId="0" applyFont="1" applyFill="1" applyBorder="1" applyAlignment="1">
      <alignment horizontal="left" vertical="center"/>
    </xf>
    <xf numFmtId="0" fontId="54" fillId="0" borderId="7" xfId="0" applyFont="1" applyBorder="1" applyAlignment="1">
      <alignment horizontal="left" vertical="center"/>
    </xf>
    <xf numFmtId="0" fontId="43" fillId="0" borderId="13" xfId="0" applyFont="1" applyFill="1" applyBorder="1" applyAlignment="1" applyProtection="1">
      <alignment horizontal="left" vertical="top" wrapText="1"/>
      <protection locked="0"/>
    </xf>
    <xf numFmtId="0" fontId="43" fillId="0" borderId="13" xfId="0" applyFont="1" applyFill="1" applyBorder="1" applyAlignment="1" applyProtection="1">
      <alignment horizontal="left" vertical="top"/>
      <protection locked="0"/>
    </xf>
    <xf numFmtId="0" fontId="29" fillId="0" borderId="13" xfId="0" applyFont="1" applyFill="1" applyBorder="1" applyAlignment="1" applyProtection="1">
      <alignment horizontal="left" vertical="top"/>
      <protection locked="0"/>
    </xf>
    <xf numFmtId="0" fontId="36" fillId="0" borderId="18" xfId="0" applyFont="1" applyBorder="1" applyAlignment="1" applyProtection="1">
      <alignment horizontal="left" vertical="top"/>
      <protection locked="0"/>
    </xf>
    <xf numFmtId="0" fontId="43" fillId="0" borderId="7" xfId="0" applyFont="1" applyFill="1" applyBorder="1" applyAlignment="1" applyProtection="1">
      <alignment horizontal="left" vertical="top"/>
      <protection locked="0"/>
    </xf>
    <xf numFmtId="0" fontId="39" fillId="0" borderId="60" xfId="0" applyFont="1" applyFill="1" applyBorder="1" applyAlignment="1" applyProtection="1">
      <alignment horizontal="center" vertical="center"/>
    </xf>
    <xf numFmtId="0" fontId="39" fillId="0" borderId="62" xfId="0" applyFont="1" applyFill="1" applyBorder="1" applyAlignment="1" applyProtection="1">
      <alignment horizontal="center" vertical="center"/>
    </xf>
    <xf numFmtId="0" fontId="17" fillId="2" borderId="0" xfId="0" applyFont="1" applyFill="1" applyAlignment="1" applyProtection="1">
      <alignment horizontal="left" vertical="top" wrapText="1"/>
    </xf>
    <xf numFmtId="0" fontId="39" fillId="0" borderId="18" xfId="0" applyFont="1" applyFill="1" applyBorder="1" applyAlignment="1" applyProtection="1">
      <alignment horizontal="center" vertical="center"/>
    </xf>
    <xf numFmtId="0" fontId="39" fillId="0" borderId="31" xfId="0" applyFont="1" applyFill="1" applyBorder="1" applyAlignment="1" applyProtection="1">
      <alignment horizontal="center" vertical="center"/>
    </xf>
    <xf numFmtId="0" fontId="39" fillId="0" borderId="18" xfId="0" applyFont="1" applyFill="1" applyBorder="1" applyAlignment="1" applyProtection="1">
      <alignment horizontal="center" vertical="center" wrapText="1"/>
    </xf>
    <xf numFmtId="0" fontId="39" fillId="0" borderId="31" xfId="0" applyFont="1" applyFill="1" applyBorder="1" applyAlignment="1" applyProtection="1">
      <alignment horizontal="center" vertical="center" wrapText="1"/>
    </xf>
    <xf numFmtId="0" fontId="41" fillId="11" borderId="13" xfId="0" applyFont="1" applyFill="1" applyBorder="1" applyAlignment="1" applyProtection="1">
      <alignment vertical="center"/>
    </xf>
    <xf numFmtId="0" fontId="41" fillId="11" borderId="18" xfId="0" applyFont="1" applyFill="1" applyBorder="1" applyAlignment="1" applyProtection="1">
      <alignment vertical="center"/>
    </xf>
    <xf numFmtId="0" fontId="41" fillId="2" borderId="0" xfId="0" applyFont="1" applyFill="1" applyBorder="1" applyAlignment="1" applyProtection="1">
      <alignment vertical="center"/>
    </xf>
    <xf numFmtId="0" fontId="32" fillId="2" borderId="29" xfId="0" applyFont="1" applyFill="1" applyBorder="1" applyAlignment="1" applyProtection="1">
      <protection locked="0"/>
    </xf>
    <xf numFmtId="0" fontId="12" fillId="2" borderId="0" xfId="0" applyFont="1" applyFill="1" applyAlignment="1" applyProtection="1"/>
    <xf numFmtId="0" fontId="0" fillId="0" borderId="0" xfId="0" applyAlignment="1"/>
    <xf numFmtId="0" fontId="35" fillId="2" borderId="0" xfId="0" applyFont="1" applyFill="1" applyAlignment="1" applyProtection="1">
      <alignment horizontal="left" vertical="top" wrapText="1"/>
    </xf>
    <xf numFmtId="0" fontId="29" fillId="2" borderId="0" xfId="0" applyFont="1" applyFill="1" applyBorder="1" applyAlignment="1" applyProtection="1">
      <alignment horizontal="left" vertical="top"/>
    </xf>
    <xf numFmtId="0" fontId="24" fillId="0" borderId="0" xfId="0" applyFont="1" applyFill="1" applyBorder="1" applyAlignment="1">
      <alignment vertical="center"/>
    </xf>
    <xf numFmtId="0" fontId="28" fillId="9" borderId="7" xfId="0" applyFont="1" applyFill="1" applyBorder="1" applyAlignment="1">
      <alignment vertical="center"/>
    </xf>
    <xf numFmtId="0" fontId="39" fillId="0" borderId="63" xfId="0" applyFont="1" applyFill="1" applyBorder="1" applyAlignment="1" applyProtection="1">
      <alignment horizontal="center" vertical="center" wrapText="1"/>
    </xf>
    <xf numFmtId="14" fontId="32" fillId="2" borderId="29" xfId="0" applyNumberFormat="1" applyFont="1" applyFill="1" applyBorder="1" applyAlignment="1" applyProtection="1">
      <alignment horizontal="left"/>
      <protection locked="0"/>
    </xf>
    <xf numFmtId="0" fontId="32" fillId="2" borderId="29" xfId="0" applyFont="1" applyFill="1" applyBorder="1" applyAlignment="1" applyProtection="1">
      <alignment horizontal="left"/>
      <protection locked="0"/>
    </xf>
    <xf numFmtId="0" fontId="47" fillId="8" borderId="7" xfId="0" quotePrefix="1" applyFont="1" applyFill="1" applyBorder="1" applyAlignment="1" applyProtection="1">
      <alignment horizontal="center" vertical="center"/>
    </xf>
    <xf numFmtId="0" fontId="43" fillId="7" borderId="20" xfId="0" applyFont="1" applyFill="1" applyBorder="1" applyAlignment="1" applyProtection="1">
      <alignment vertical="top" wrapText="1"/>
    </xf>
    <xf numFmtId="0" fontId="43" fillId="7" borderId="20" xfId="0" applyFont="1" applyFill="1" applyBorder="1" applyAlignment="1" applyProtection="1">
      <alignment vertical="top"/>
    </xf>
    <xf numFmtId="0" fontId="22" fillId="2" borderId="0" xfId="0" applyFont="1" applyFill="1" applyBorder="1" applyAlignment="1" applyProtection="1">
      <alignment horizontal="left" vertical="top"/>
    </xf>
    <xf numFmtId="0" fontId="32" fillId="2" borderId="11" xfId="0" applyFont="1" applyFill="1" applyBorder="1" applyAlignment="1" applyProtection="1">
      <alignment horizontal="left"/>
      <protection locked="0"/>
    </xf>
    <xf numFmtId="1" fontId="32" fillId="2" borderId="12" xfId="0" applyNumberFormat="1" applyFont="1" applyFill="1" applyBorder="1" applyAlignment="1" applyProtection="1">
      <alignment horizontal="center"/>
      <protection locked="0"/>
    </xf>
    <xf numFmtId="0" fontId="29" fillId="2" borderId="0" xfId="0" applyFont="1" applyFill="1" applyBorder="1" applyAlignment="1" applyProtection="1">
      <alignment horizontal="left" indent="2"/>
    </xf>
    <xf numFmtId="0" fontId="26" fillId="0" borderId="0" xfId="0" applyFont="1" applyFill="1" applyBorder="1" applyAlignment="1" applyProtection="1">
      <alignment vertical="center"/>
    </xf>
    <xf numFmtId="0" fontId="24" fillId="0" borderId="0" xfId="0" applyFont="1" applyAlignment="1">
      <alignment vertical="center"/>
    </xf>
    <xf numFmtId="0" fontId="1" fillId="0" borderId="7" xfId="0" applyFont="1" applyBorder="1" applyAlignment="1">
      <alignment vertical="center"/>
    </xf>
    <xf numFmtId="0" fontId="31" fillId="2" borderId="0" xfId="0" applyFont="1" applyFill="1" applyBorder="1" applyAlignment="1" applyProtection="1">
      <alignment horizontal="center"/>
    </xf>
    <xf numFmtId="1" fontId="32" fillId="2" borderId="11" xfId="0" applyNumberFormat="1" applyFont="1" applyFill="1" applyBorder="1" applyAlignment="1" applyProtection="1">
      <alignment horizontal="center"/>
      <protection locked="0"/>
    </xf>
    <xf numFmtId="0" fontId="51" fillId="2" borderId="0" xfId="0" applyFont="1" applyFill="1" applyAlignment="1" applyProtection="1">
      <alignment horizontal="left" vertical="top" wrapText="1"/>
    </xf>
    <xf numFmtId="0" fontId="19" fillId="2" borderId="0" xfId="0" applyFont="1" applyFill="1" applyBorder="1" applyAlignment="1" applyProtection="1">
      <alignment horizontal="left" vertical="center" wrapText="1"/>
    </xf>
    <xf numFmtId="14" fontId="32" fillId="2" borderId="11" xfId="0" applyNumberFormat="1" applyFont="1" applyFill="1" applyBorder="1" applyAlignment="1" applyProtection="1">
      <alignment horizontal="left"/>
      <protection locked="0"/>
    </xf>
    <xf numFmtId="0" fontId="32" fillId="2" borderId="12" xfId="0" applyFont="1" applyFill="1" applyBorder="1" applyAlignment="1" applyProtection="1">
      <alignment horizontal="left"/>
      <protection locked="0"/>
    </xf>
    <xf numFmtId="0" fontId="44" fillId="6" borderId="42" xfId="0" applyFont="1" applyFill="1" applyBorder="1" applyAlignment="1" applyProtection="1">
      <alignment horizontal="center" vertical="center" wrapText="1"/>
    </xf>
    <xf numFmtId="0" fontId="44" fillId="6" borderId="21" xfId="0" applyFont="1" applyFill="1" applyBorder="1" applyAlignment="1" applyProtection="1">
      <alignment horizontal="center" vertical="center" wrapText="1"/>
    </xf>
    <xf numFmtId="0" fontId="44" fillId="6" borderId="22" xfId="0" applyFont="1" applyFill="1" applyBorder="1" applyAlignment="1" applyProtection="1">
      <alignment horizontal="center" vertical="center" wrapText="1"/>
    </xf>
    <xf numFmtId="0" fontId="29" fillId="2" borderId="0" xfId="0" applyFont="1" applyFill="1" applyAlignment="1" applyProtection="1">
      <alignment horizontal="left" indent="2"/>
    </xf>
    <xf numFmtId="0" fontId="30" fillId="0" borderId="0" xfId="0" applyFont="1" applyFill="1" applyBorder="1" applyAlignment="1" applyProtection="1">
      <alignment vertical="center"/>
    </xf>
    <xf numFmtId="0" fontId="1" fillId="0" borderId="0" xfId="0" applyFont="1" applyAlignment="1">
      <alignment vertical="center"/>
    </xf>
    <xf numFmtId="0" fontId="39" fillId="0" borderId="12" xfId="0" applyFont="1" applyFill="1" applyBorder="1" applyAlignment="1" applyProtection="1">
      <alignment horizontal="center" vertical="center"/>
    </xf>
    <xf numFmtId="0" fontId="41" fillId="6" borderId="13" xfId="0" applyFont="1" applyFill="1" applyBorder="1" applyAlignment="1" applyProtection="1">
      <alignment vertical="center"/>
    </xf>
    <xf numFmtId="0" fontId="41" fillId="6" borderId="18" xfId="0" applyFont="1" applyFill="1" applyBorder="1" applyAlignment="1" applyProtection="1">
      <alignment vertical="center"/>
    </xf>
    <xf numFmtId="0" fontId="43" fillId="7" borderId="13" xfId="0" applyFont="1" applyFill="1" applyBorder="1" applyAlignment="1" applyProtection="1">
      <alignment vertical="center" wrapText="1"/>
    </xf>
    <xf numFmtId="0" fontId="33" fillId="0" borderId="20" xfId="0" quotePrefix="1" applyFont="1" applyFill="1" applyBorder="1" applyAlignment="1" applyProtection="1">
      <alignment horizontal="left" vertical="center" wrapText="1"/>
    </xf>
    <xf numFmtId="0" fontId="33" fillId="0" borderId="26" xfId="0" quotePrefix="1" applyFont="1" applyFill="1" applyBorder="1" applyAlignment="1" applyProtection="1">
      <alignment horizontal="left" vertical="center" wrapText="1"/>
    </xf>
    <xf numFmtId="0" fontId="33" fillId="0"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left" vertical="center" wrapText="1"/>
    </xf>
    <xf numFmtId="0" fontId="33" fillId="8" borderId="26" xfId="0" quotePrefix="1" applyFont="1" applyFill="1" applyBorder="1" applyAlignment="1" applyProtection="1">
      <alignment horizontal="left" vertical="center" wrapText="1"/>
    </xf>
    <xf numFmtId="0" fontId="33" fillId="8" borderId="27" xfId="0" quotePrefix="1" applyFont="1" applyFill="1" applyBorder="1" applyAlignment="1" applyProtection="1">
      <alignment horizontal="left" vertical="center" wrapText="1"/>
    </xf>
    <xf numFmtId="0" fontId="33" fillId="8" borderId="20" xfId="0" quotePrefix="1" applyFont="1" applyFill="1" applyBorder="1" applyAlignment="1" applyProtection="1">
      <alignment horizontal="center" vertical="center" wrapText="1"/>
    </xf>
    <xf numFmtId="0" fontId="33" fillId="8" borderId="26" xfId="0" quotePrefix="1" applyFont="1" applyFill="1" applyBorder="1" applyAlignment="1" applyProtection="1">
      <alignment horizontal="center" vertical="center" wrapText="1"/>
    </xf>
    <xf numFmtId="0" fontId="33" fillId="8" borderId="27" xfId="0" quotePrefix="1" applyFont="1" applyFill="1" applyBorder="1" applyAlignment="1" applyProtection="1">
      <alignment horizontal="center" vertical="center" wrapText="1"/>
    </xf>
    <xf numFmtId="0" fontId="43" fillId="7" borderId="20" xfId="0" applyFont="1" applyFill="1" applyBorder="1" applyAlignment="1" applyProtection="1">
      <alignment vertical="center" wrapText="1"/>
    </xf>
    <xf numFmtId="0" fontId="43" fillId="7" borderId="27" xfId="0" applyFont="1" applyFill="1" applyBorder="1" applyAlignment="1" applyProtection="1">
      <alignment vertical="center" wrapText="1"/>
    </xf>
    <xf numFmtId="0" fontId="62" fillId="2" borderId="0" xfId="0" applyFont="1" applyFill="1" applyBorder="1" applyAlignment="1" applyProtection="1">
      <alignment horizontal="left" vertical="top" wrapText="1" indent="1"/>
    </xf>
    <xf numFmtId="0" fontId="63" fillId="2" borderId="0" xfId="0" applyFont="1" applyFill="1" applyBorder="1" applyAlignment="1" applyProtection="1">
      <alignment horizontal="left" vertical="top" wrapText="1" indent="1"/>
    </xf>
    <xf numFmtId="0" fontId="41" fillId="0" borderId="0" xfId="0" applyFont="1" applyFill="1" applyBorder="1" applyAlignment="1">
      <alignment horizontal="left" vertical="top"/>
    </xf>
    <xf numFmtId="0" fontId="1" fillId="0" borderId="0" xfId="0" applyFont="1" applyBorder="1" applyAlignment="1"/>
    <xf numFmtId="0" fontId="1" fillId="0" borderId="0" xfId="0" applyFont="1" applyAlignment="1"/>
    <xf numFmtId="0" fontId="36" fillId="0" borderId="13" xfId="0" applyFont="1" applyBorder="1" applyAlignment="1" applyProtection="1">
      <alignment horizontal="left" vertical="top"/>
      <protection locked="0"/>
    </xf>
    <xf numFmtId="0" fontId="36" fillId="0" borderId="7" xfId="0" applyFont="1" applyBorder="1" applyAlignment="1" applyProtection="1">
      <protection locked="0"/>
    </xf>
    <xf numFmtId="0" fontId="30" fillId="9" borderId="0" xfId="0" applyFont="1" applyFill="1" applyBorder="1" applyAlignment="1" applyProtection="1">
      <alignment vertical="center"/>
    </xf>
    <xf numFmtId="0" fontId="32" fillId="2" borderId="0" xfId="0" applyFont="1" applyFill="1" applyBorder="1" applyAlignment="1" applyProtection="1">
      <alignment horizontal="left" vertical="top" wrapText="1" indent="1"/>
    </xf>
    <xf numFmtId="0" fontId="1" fillId="0" borderId="0" xfId="0" applyFont="1" applyFill="1" applyBorder="1" applyAlignment="1">
      <alignment vertical="center"/>
    </xf>
    <xf numFmtId="0" fontId="43" fillId="7" borderId="23" xfId="0" applyFont="1" applyFill="1" applyBorder="1" applyAlignment="1" applyProtection="1">
      <alignment vertical="center"/>
    </xf>
    <xf numFmtId="0" fontId="44" fillId="6" borderId="7" xfId="0" applyFont="1" applyFill="1" applyBorder="1" applyAlignment="1" applyProtection="1">
      <alignment horizontal="center" vertical="center"/>
    </xf>
    <xf numFmtId="0" fontId="61" fillId="2" borderId="0" xfId="0" applyFont="1" applyFill="1" applyBorder="1" applyAlignment="1" applyProtection="1">
      <alignment horizontal="center"/>
    </xf>
    <xf numFmtId="0" fontId="60" fillId="2" borderId="0" xfId="0" applyFont="1" applyFill="1" applyBorder="1" applyAlignment="1" applyProtection="1">
      <alignment horizontal="center"/>
    </xf>
    <xf numFmtId="0" fontId="39" fillId="0" borderId="20" xfId="0" applyFont="1" applyFill="1" applyBorder="1" applyAlignment="1" applyProtection="1">
      <alignment horizontal="center" vertical="center"/>
    </xf>
    <xf numFmtId="0" fontId="39" fillId="0" borderId="26" xfId="0" applyFont="1" applyFill="1" applyBorder="1" applyAlignment="1" applyProtection="1">
      <alignment horizontal="center" vertical="center"/>
    </xf>
    <xf numFmtId="0" fontId="39" fillId="0" borderId="27" xfId="0" applyFont="1" applyFill="1" applyBorder="1" applyAlignment="1" applyProtection="1">
      <alignment horizontal="center" vertical="center"/>
    </xf>
    <xf numFmtId="0" fontId="29" fillId="2" borderId="0" xfId="0" applyFont="1" applyFill="1" applyAlignment="1" applyProtection="1">
      <alignment horizontal="left" indent="9"/>
    </xf>
    <xf numFmtId="0" fontId="1" fillId="0" borderId="0" xfId="0" applyFont="1" applyFill="1" applyBorder="1" applyAlignment="1" applyProtection="1">
      <alignment horizontal="left" vertical="top" wrapText="1"/>
    </xf>
    <xf numFmtId="0" fontId="33" fillId="0" borderId="28" xfId="0" quotePrefix="1" applyFont="1" applyFill="1" applyBorder="1" applyAlignment="1" applyProtection="1">
      <alignment horizontal="left" vertical="center" wrapText="1"/>
    </xf>
    <xf numFmtId="0" fontId="33" fillId="0" borderId="29" xfId="0" quotePrefix="1" applyFont="1" applyFill="1" applyBorder="1" applyAlignment="1" applyProtection="1">
      <alignment horizontal="left" vertical="center" wrapText="1"/>
    </xf>
    <xf numFmtId="0" fontId="33" fillId="0" borderId="30" xfId="0" quotePrefix="1" applyFont="1" applyFill="1" applyBorder="1" applyAlignment="1" applyProtection="1">
      <alignment horizontal="left" vertical="center" wrapText="1"/>
    </xf>
    <xf numFmtId="0" fontId="33" fillId="0" borderId="28" xfId="0" quotePrefix="1" applyFont="1" applyFill="1" applyBorder="1" applyAlignment="1" applyProtection="1">
      <alignment horizontal="center" vertical="center" wrapText="1"/>
    </xf>
    <xf numFmtId="0" fontId="33" fillId="0" borderId="29" xfId="0" quotePrefix="1" applyFont="1" applyFill="1" applyBorder="1" applyAlignment="1" applyProtection="1">
      <alignment horizontal="center" vertical="center" wrapText="1"/>
    </xf>
    <xf numFmtId="0" fontId="33" fillId="0" borderId="30" xfId="0" quotePrefix="1" applyFont="1" applyFill="1" applyBorder="1" applyAlignment="1" applyProtection="1">
      <alignment horizontal="center" vertical="center" wrapText="1"/>
    </xf>
    <xf numFmtId="0" fontId="43" fillId="7" borderId="7" xfId="0" applyFont="1" applyFill="1" applyBorder="1" applyAlignment="1" applyProtection="1">
      <alignment vertical="center" wrapText="1"/>
    </xf>
    <xf numFmtId="0" fontId="43" fillId="7" borderId="7" xfId="0" applyFont="1" applyFill="1" applyBorder="1" applyAlignment="1" applyProtection="1">
      <alignment vertical="center"/>
    </xf>
    <xf numFmtId="6" fontId="33" fillId="2" borderId="56" xfId="0" quotePrefix="1" applyNumberFormat="1" applyFont="1" applyFill="1" applyBorder="1" applyAlignment="1" applyProtection="1">
      <alignment horizontal="center" vertical="center"/>
    </xf>
    <xf numFmtId="6" fontId="33" fillId="2" borderId="12" xfId="0" quotePrefix="1" applyNumberFormat="1" applyFont="1" applyFill="1" applyBorder="1" applyAlignment="1" applyProtection="1">
      <alignment horizontal="center" vertical="center"/>
    </xf>
    <xf numFmtId="6" fontId="33" fillId="2" borderId="31" xfId="0" quotePrefix="1" applyNumberFormat="1" applyFont="1" applyFill="1" applyBorder="1" applyAlignment="1" applyProtection="1">
      <alignment horizontal="center" vertical="center"/>
    </xf>
    <xf numFmtId="6" fontId="33" fillId="8" borderId="12" xfId="0" quotePrefix="1" applyNumberFormat="1" applyFont="1" applyFill="1" applyBorder="1" applyAlignment="1" applyProtection="1">
      <alignment horizontal="center" vertical="center"/>
    </xf>
    <xf numFmtId="6" fontId="33" fillId="8" borderId="31" xfId="0" quotePrefix="1" applyNumberFormat="1" applyFont="1" applyFill="1" applyBorder="1" applyAlignment="1" applyProtection="1">
      <alignment horizontal="center" vertical="center"/>
    </xf>
    <xf numFmtId="0" fontId="51" fillId="2" borderId="0" xfId="0" applyFont="1" applyFill="1" applyAlignment="1" applyProtection="1">
      <alignment horizontal="left" vertical="center" wrapText="1" indent="1"/>
    </xf>
    <xf numFmtId="0" fontId="39" fillId="0" borderId="56" xfId="0" applyFont="1" applyFill="1" applyBorder="1" applyAlignment="1" applyProtection="1">
      <alignment horizontal="center" vertical="center"/>
    </xf>
    <xf numFmtId="0" fontId="61" fillId="2" borderId="0" xfId="0" applyFont="1" applyFill="1" applyAlignment="1" applyProtection="1">
      <alignment horizontal="center"/>
    </xf>
    <xf numFmtId="0" fontId="60" fillId="2" borderId="0" xfId="0" applyFont="1" applyFill="1" applyAlignment="1" applyProtection="1">
      <alignment horizontal="center"/>
    </xf>
    <xf numFmtId="0" fontId="29" fillId="2" borderId="0" xfId="0" applyFont="1" applyFill="1" applyBorder="1" applyAlignment="1" applyProtection="1">
      <alignment horizontal="left" indent="9"/>
    </xf>
    <xf numFmtId="0" fontId="11" fillId="4" borderId="5"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0" xfId="0" applyFont="1" applyFill="1" applyAlignment="1">
      <alignment horizontal="center" vertical="center"/>
    </xf>
    <xf numFmtId="0" fontId="9" fillId="4" borderId="52" xfId="0" applyFont="1" applyFill="1" applyBorder="1" applyAlignment="1">
      <alignment horizontal="center" vertical="center"/>
    </xf>
    <xf numFmtId="0" fontId="9" fillId="4" borderId="53" xfId="0" applyFont="1" applyFill="1" applyBorder="1" applyAlignment="1">
      <alignment horizontal="center" vertical="center"/>
    </xf>
    <xf numFmtId="0" fontId="9" fillId="4" borderId="54" xfId="0" applyFont="1" applyFill="1" applyBorder="1" applyAlignment="1">
      <alignment horizontal="center" vertical="center"/>
    </xf>
  </cellXfs>
  <cellStyles count="2">
    <cellStyle name="Currency" xfId="1" builtinId="4"/>
    <cellStyle name="Normal" xfId="0" builtinId="0"/>
  </cellStyles>
  <dxfs count="33">
    <dxf>
      <font>
        <color rgb="FFF6F6F6"/>
      </font>
    </dxf>
    <dxf>
      <font>
        <color rgb="FF3C9287"/>
      </font>
    </dxf>
    <dxf>
      <font>
        <color theme="0"/>
      </font>
    </dxf>
    <dxf>
      <font>
        <color theme="0"/>
      </font>
    </dxf>
    <dxf>
      <font>
        <color rgb="FFFF0000"/>
      </font>
    </dxf>
    <dxf>
      <font>
        <color theme="0"/>
      </font>
    </dxf>
    <dxf>
      <font>
        <color rgb="FF3C9287"/>
      </font>
    </dxf>
    <dxf>
      <font>
        <color rgb="FFF6F6F6"/>
      </font>
    </dxf>
    <dxf>
      <font>
        <color rgb="FFFF0000"/>
      </font>
    </dxf>
    <dxf>
      <font>
        <color theme="0"/>
      </font>
    </dxf>
    <dxf>
      <font>
        <color theme="0"/>
      </font>
    </dxf>
    <dxf>
      <font>
        <color theme="0"/>
      </font>
    </dxf>
    <dxf>
      <font>
        <color rgb="FF3C9287"/>
      </font>
    </dxf>
    <dxf>
      <font>
        <color rgb="FF3C9287"/>
      </font>
    </dxf>
    <dxf>
      <font>
        <color rgb="FFF6F6F6"/>
      </font>
    </dxf>
    <dxf>
      <font>
        <color rgb="FFF6F6F6"/>
      </font>
    </dxf>
    <dxf>
      <font>
        <color rgb="FF5CA038"/>
      </font>
    </dxf>
    <dxf>
      <font>
        <color rgb="FF5CA038"/>
      </font>
    </dxf>
    <dxf>
      <font>
        <color theme="0"/>
      </font>
    </dxf>
    <dxf>
      <font>
        <color theme="0"/>
      </font>
    </dxf>
    <dxf>
      <font>
        <color rgb="FFFF0000"/>
      </font>
    </dxf>
    <dxf>
      <font>
        <color theme="0"/>
      </font>
    </dxf>
    <dxf>
      <font>
        <color theme="0"/>
      </font>
    </dxf>
    <dxf>
      <font>
        <color theme="0"/>
      </font>
    </dxf>
    <dxf>
      <font>
        <color rgb="FF598D7E"/>
      </font>
    </dxf>
    <dxf>
      <font>
        <color rgb="FF598D7E"/>
      </font>
    </dxf>
    <dxf>
      <font>
        <color rgb="FF3C9287"/>
      </font>
    </dxf>
    <dxf>
      <font>
        <color rgb="FF3C9287"/>
      </font>
    </dxf>
    <dxf>
      <font>
        <color rgb="FFF6F6F6"/>
      </font>
    </dxf>
    <dxf>
      <font>
        <color rgb="FFF6F6F6"/>
      </font>
    </dxf>
    <dxf>
      <font>
        <color theme="0"/>
      </font>
    </dxf>
    <dxf>
      <font>
        <color theme="0"/>
      </font>
    </dxf>
    <dxf>
      <font>
        <color rgb="FFFF0000"/>
      </font>
    </dxf>
  </dxfs>
  <tableStyles count="0" defaultTableStyle="TableStyleMedium9" defaultPivotStyle="PivotStyleLight16"/>
  <colors>
    <mruColors>
      <color rgb="FF414042"/>
      <color rgb="FF3C9287"/>
      <color rgb="FFF6F6F6"/>
      <color rgb="FF45A082"/>
      <color rgb="FFF7941E"/>
      <color rgb="FF598D7E"/>
      <color rgb="FF5CA038"/>
      <color rgb="FFFFF1E2"/>
      <color rgb="FF7AAE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1257300</xdr:colOff>
      <xdr:row>0</xdr:row>
      <xdr:rowOff>0</xdr:rowOff>
    </xdr:from>
    <xdr:to>
      <xdr:col>5</xdr:col>
      <xdr:colOff>1609725</xdr:colOff>
      <xdr:row>0</xdr:row>
      <xdr:rowOff>714375</xdr:rowOff>
    </xdr:to>
    <xdr:pic>
      <xdr:nvPicPr>
        <xdr:cNvPr id="5278" name="Picture 2" descr="LandmarkHealthplan-Horiz-Logo-CMYK">
          <a:extLst>
            <a:ext uri="{FF2B5EF4-FFF2-40B4-BE49-F238E27FC236}">
              <a16:creationId xmlns:a16="http://schemas.microsoft.com/office/drawing/2014/main" id="{00000000-0008-0000-0000-00009E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800100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57150</xdr:rowOff>
    </xdr:from>
    <xdr:to>
      <xdr:col>1</xdr:col>
      <xdr:colOff>171449</xdr:colOff>
      <xdr:row>0</xdr:row>
      <xdr:rowOff>780749</xdr:rowOff>
    </xdr:to>
    <xdr:pic>
      <xdr:nvPicPr>
        <xdr:cNvPr id="4" name="Picture 3">
          <a:extLst>
            <a:ext uri="{FF2B5EF4-FFF2-40B4-BE49-F238E27FC236}">
              <a16:creationId xmlns:a16="http://schemas.microsoft.com/office/drawing/2014/main" id="{EF749585-BB94-4BD2-AB3C-C71D959C0A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57150"/>
          <a:ext cx="1676399" cy="723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952500</xdr:colOff>
      <xdr:row>1</xdr:row>
      <xdr:rowOff>9525</xdr:rowOff>
    </xdr:from>
    <xdr:to>
      <xdr:col>6</xdr:col>
      <xdr:colOff>981075</xdr:colOff>
      <xdr:row>2</xdr:row>
      <xdr:rowOff>9525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3371850" y="942975"/>
          <a:ext cx="56197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from 08/01/2022 through 07/31/2023</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5</xdr:col>
      <xdr:colOff>47625</xdr:colOff>
      <xdr:row>0</xdr:row>
      <xdr:rowOff>28575</xdr:rowOff>
    </xdr:from>
    <xdr:to>
      <xdr:col>7</xdr:col>
      <xdr:colOff>14351</xdr:colOff>
      <xdr:row>0</xdr:row>
      <xdr:rowOff>917575</xdr:rowOff>
    </xdr:to>
    <xdr:pic>
      <xdr:nvPicPr>
        <xdr:cNvPr id="16" name="Picture 6" descr="LandmarkHealthplan-Horiz-Logo-CMYK">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6515100" y="28575"/>
          <a:ext cx="2500376" cy="88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142875</xdr:rowOff>
    </xdr:from>
    <xdr:to>
      <xdr:col>1</xdr:col>
      <xdr:colOff>619124</xdr:colOff>
      <xdr:row>0</xdr:row>
      <xdr:rowOff>866474</xdr:rowOff>
    </xdr:to>
    <xdr:pic>
      <xdr:nvPicPr>
        <xdr:cNvPr id="5" name="Picture 4">
          <a:extLst>
            <a:ext uri="{FF2B5EF4-FFF2-40B4-BE49-F238E27FC236}">
              <a16:creationId xmlns:a16="http://schemas.microsoft.com/office/drawing/2014/main" id="{B0938668-F014-4969-9945-E1EE5D7D38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142875"/>
          <a:ext cx="1676399" cy="7235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352425</xdr:colOff>
      <xdr:row>1</xdr:row>
      <xdr:rowOff>28575</xdr:rowOff>
    </xdr:from>
    <xdr:to>
      <xdr:col>13</xdr:col>
      <xdr:colOff>190512</xdr:colOff>
      <xdr:row>1</xdr:row>
      <xdr:rowOff>266700</xdr:rowOff>
    </xdr:to>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6657975" y="923925"/>
          <a:ext cx="610553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Non-Voluntary Rates valid from 08/01/2022</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07/31/2023</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14" name="Picture 6" descr="LandmarkHealthplan-Horiz-Logo-CMYK">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123825</xdr:rowOff>
    </xdr:from>
    <xdr:to>
      <xdr:col>1</xdr:col>
      <xdr:colOff>638174</xdr:colOff>
      <xdr:row>0</xdr:row>
      <xdr:rowOff>847424</xdr:rowOff>
    </xdr:to>
    <xdr:pic>
      <xdr:nvPicPr>
        <xdr:cNvPr id="6" name="Picture 5">
          <a:extLst>
            <a:ext uri="{FF2B5EF4-FFF2-40B4-BE49-F238E27FC236}">
              <a16:creationId xmlns:a16="http://schemas.microsoft.com/office/drawing/2014/main" id="{60355FEF-CB08-456C-BFA2-E3CF6C06BD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025" y="123825"/>
          <a:ext cx="1676399" cy="723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657225</xdr:colOff>
      <xdr:row>1</xdr:row>
      <xdr:rowOff>28575</xdr:rowOff>
    </xdr:from>
    <xdr:to>
      <xdr:col>13</xdr:col>
      <xdr:colOff>190512</xdr:colOff>
      <xdr:row>1</xdr:row>
      <xdr:rowOff>266700</xdr:rowOff>
    </xdr:to>
    <xdr:sp macro="" textlink="">
      <xdr:nvSpPr>
        <xdr:cNvPr id="2" name="TextBox 1">
          <a:extLst>
            <a:ext uri="{FF2B5EF4-FFF2-40B4-BE49-F238E27FC236}">
              <a16:creationId xmlns:a16="http://schemas.microsoft.com/office/drawing/2014/main" id="{E10E0830-D0BF-456F-BC42-2CE59EFF8671}"/>
            </a:ext>
          </a:extLst>
        </xdr:cNvPr>
        <xdr:cNvSpPr txBox="1"/>
      </xdr:nvSpPr>
      <xdr:spPr>
        <a:xfrm>
          <a:off x="7858125" y="923925"/>
          <a:ext cx="4905387"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rPr>
            <a:t> Voluntary Rates valid from 08/01/2022</a:t>
          </a:r>
          <a:r>
            <a:rPr lang="en-US" sz="1200" b="0" i="0" baseline="0">
              <a:solidFill>
                <a:srgbClr val="414042"/>
              </a:solidFill>
              <a:latin typeface="Arial" panose="020B0604020202020204" pitchFamily="34" charset="0"/>
              <a:ea typeface="Open Sans" panose="020B0606030504020204" pitchFamily="34" charset="0"/>
              <a:cs typeface="Arial" panose="020B0604020202020204" pitchFamily="34" charset="0"/>
            </a:rPr>
            <a:t> through 07/31/2023</a:t>
          </a:r>
          <a:endParaRPr lang="en-US" sz="1200" b="0" i="0">
            <a:solidFill>
              <a:srgbClr val="414042"/>
            </a:solidFill>
            <a:latin typeface="Arial" panose="020B0604020202020204" pitchFamily="34" charset="0"/>
            <a:ea typeface="Open Sans" panose="020B0606030504020204" pitchFamily="34" charset="0"/>
            <a:cs typeface="Arial" panose="020B0604020202020204" pitchFamily="34" charset="0"/>
          </a:endParaRPr>
        </a:p>
      </xdr:txBody>
    </xdr:sp>
    <xdr:clientData/>
  </xdr:twoCellAnchor>
  <xdr:twoCellAnchor editAs="oneCell">
    <xdr:from>
      <xdr:col>10</xdr:col>
      <xdr:colOff>723900</xdr:colOff>
      <xdr:row>0</xdr:row>
      <xdr:rowOff>0</xdr:rowOff>
    </xdr:from>
    <xdr:to>
      <xdr:col>13</xdr:col>
      <xdr:colOff>76200</xdr:colOff>
      <xdr:row>0</xdr:row>
      <xdr:rowOff>714375</xdr:rowOff>
    </xdr:to>
    <xdr:pic>
      <xdr:nvPicPr>
        <xdr:cNvPr id="3" name="Picture 6" descr="LandmarkHealthplan-Horiz-Logo-CMYK">
          <a:extLst>
            <a:ext uri="{FF2B5EF4-FFF2-40B4-BE49-F238E27FC236}">
              <a16:creationId xmlns:a16="http://schemas.microsoft.com/office/drawing/2014/main" id="{B79FA2C7-1DCE-43D5-A81D-8C43D1183D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410" t="8707" r="6410" b="14369"/>
        <a:stretch>
          <a:fillRect/>
        </a:stretch>
      </xdr:blipFill>
      <xdr:spPr bwMode="auto">
        <a:xfrm>
          <a:off x="10610850" y="0"/>
          <a:ext cx="20383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133350</xdr:rowOff>
    </xdr:from>
    <xdr:to>
      <xdr:col>1</xdr:col>
      <xdr:colOff>628649</xdr:colOff>
      <xdr:row>0</xdr:row>
      <xdr:rowOff>856949</xdr:rowOff>
    </xdr:to>
    <xdr:pic>
      <xdr:nvPicPr>
        <xdr:cNvPr id="6" name="Picture 5">
          <a:extLst>
            <a:ext uri="{FF2B5EF4-FFF2-40B4-BE49-F238E27FC236}">
              <a16:creationId xmlns:a16="http://schemas.microsoft.com/office/drawing/2014/main" id="{2128C06C-B89D-4BB4-AD26-2995B44D68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33350"/>
          <a:ext cx="1676399" cy="7235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G5"/>
  <sheetViews>
    <sheetView tabSelected="1" zoomScaleNormal="100" workbookViewId="0">
      <selection activeCell="A4" sqref="A4:C4"/>
    </sheetView>
  </sheetViews>
  <sheetFormatPr defaultColWidth="9.140625" defaultRowHeight="21.95" customHeight="1" x14ac:dyDescent="0.35"/>
  <cols>
    <col min="1" max="6" width="25.28515625" style="4" customWidth="1"/>
    <col min="7" max="16384" width="9.140625" style="4"/>
  </cols>
  <sheetData>
    <row r="1" spans="1:7" ht="64.5" customHeight="1" thickBot="1" x14ac:dyDescent="0.4">
      <c r="B1" s="175" t="s">
        <v>19</v>
      </c>
      <c r="C1" s="176"/>
      <c r="D1" s="176"/>
      <c r="E1" s="176"/>
      <c r="F1" s="176"/>
    </row>
    <row r="2" spans="1:7" s="2" customFormat="1" ht="27.95" customHeight="1" x14ac:dyDescent="0.2">
      <c r="A2" s="177" t="s">
        <v>15</v>
      </c>
      <c r="B2" s="178"/>
      <c r="C2" s="178"/>
      <c r="D2" s="178"/>
      <c r="E2" s="178"/>
      <c r="F2" s="179"/>
    </row>
    <row r="3" spans="1:7" s="11" customFormat="1" ht="21" customHeight="1" x14ac:dyDescent="0.35">
      <c r="A3" s="185" t="s">
        <v>14</v>
      </c>
      <c r="B3" s="181"/>
      <c r="C3" s="186"/>
      <c r="D3" s="180" t="s">
        <v>13</v>
      </c>
      <c r="E3" s="181"/>
      <c r="F3" s="181"/>
      <c r="G3" s="126"/>
    </row>
    <row r="4" spans="1:7" s="6" customFormat="1" ht="35.25" customHeight="1" x14ac:dyDescent="0.2">
      <c r="A4" s="187" t="s">
        <v>16</v>
      </c>
      <c r="B4" s="183"/>
      <c r="C4" s="188"/>
      <c r="D4" s="182" t="s">
        <v>17</v>
      </c>
      <c r="E4" s="183"/>
      <c r="F4" s="184"/>
    </row>
    <row r="5" spans="1:7" s="3" customFormat="1" ht="15" x14ac:dyDescent="0.2">
      <c r="A5" s="5"/>
      <c r="B5" s="5"/>
      <c r="C5" s="5"/>
      <c r="D5" s="5"/>
      <c r="E5" s="5"/>
      <c r="F5" s="5"/>
    </row>
  </sheetData>
  <sheetProtection algorithmName="SHA-512" hashValue="6wdJ35j/t97FtFin6Iud7C/RyVYfMKTv5HjuloNLGDI+/IXn/tDBYMVLM88eb8lAOT3S7qC53gOOwdyjjfHtCA==" saltValue="3w/DFIlhj10KZJ8vfqTBEQ==" spinCount="100000" sheet="1" objects="1" scenarios="1" selectLockedCells="1" selectUnlockedCells="1"/>
  <mergeCells count="6">
    <mergeCell ref="B1:F1"/>
    <mergeCell ref="A2:F2"/>
    <mergeCell ref="D3:F3"/>
    <mergeCell ref="D4:F4"/>
    <mergeCell ref="A3:C3"/>
    <mergeCell ref="A4:C4"/>
  </mergeCells>
  <printOptions horizontalCentered="1"/>
  <pageMargins left="0.45" right="0.45" top="0.6" bottom="0.6" header="0.3" footer="0.3"/>
  <pageSetup scale="64" fitToHeight="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T42"/>
  <sheetViews>
    <sheetView zoomScaleNormal="100" zoomScaleSheetLayoutView="100" zoomScalePageLayoutView="90" workbookViewId="0">
      <selection activeCell="B4" sqref="B4:G4"/>
    </sheetView>
  </sheetViews>
  <sheetFormatPr defaultColWidth="9.140625" defaultRowHeight="18" x14ac:dyDescent="0.35"/>
  <cols>
    <col min="1" max="1" width="18.5703125" style="24" customWidth="1"/>
    <col min="2" max="2" width="17.7109375" style="24" customWidth="1"/>
    <col min="3" max="3" width="20.140625" style="24" customWidth="1"/>
    <col min="4" max="4" width="21.140625" style="24" customWidth="1"/>
    <col min="5" max="5" width="19.42578125" style="24" customWidth="1"/>
    <col min="6" max="6" width="23.140625" style="24" customWidth="1"/>
    <col min="7" max="7" width="14.85546875" style="101" customWidth="1"/>
    <col min="8" max="8" width="42.7109375" style="24" customWidth="1"/>
    <col min="9" max="9" width="13" style="25" customWidth="1"/>
    <col min="10" max="11" width="13" style="24" customWidth="1"/>
    <col min="12" max="16384" width="9.140625" style="24"/>
  </cols>
  <sheetData>
    <row r="1" spans="1:16" ht="73.5" customHeight="1" x14ac:dyDescent="0.35">
      <c r="A1" s="222"/>
      <c r="B1" s="223"/>
      <c r="C1" s="223"/>
      <c r="D1" s="223"/>
      <c r="E1" s="223"/>
      <c r="F1" s="223"/>
      <c r="G1" s="96"/>
    </row>
    <row r="2" spans="1:16" s="26" customFormat="1" ht="26.25" customHeight="1" x14ac:dyDescent="0.35">
      <c r="A2" s="225" t="s">
        <v>70</v>
      </c>
      <c r="B2" s="225"/>
      <c r="C2" s="225"/>
      <c r="D2" s="225"/>
      <c r="E2" s="225"/>
      <c r="F2" s="225"/>
      <c r="G2" s="225"/>
      <c r="H2" s="225"/>
      <c r="I2" s="225"/>
      <c r="J2" s="225"/>
      <c r="K2" s="225"/>
    </row>
    <row r="3" spans="1:16" s="28" customFormat="1" ht="27" customHeight="1" x14ac:dyDescent="0.2">
      <c r="A3" s="193" t="s">
        <v>1</v>
      </c>
      <c r="B3" s="227"/>
      <c r="C3" s="226"/>
      <c r="D3" s="226"/>
      <c r="E3" s="226"/>
      <c r="F3" s="226"/>
      <c r="I3" s="29"/>
    </row>
    <row r="4" spans="1:16" ht="36.950000000000003" customHeight="1" x14ac:dyDescent="0.35">
      <c r="A4" s="53" t="s">
        <v>5</v>
      </c>
      <c r="B4" s="221"/>
      <c r="C4" s="221"/>
      <c r="D4" s="221"/>
      <c r="E4" s="221"/>
      <c r="F4" s="221"/>
      <c r="G4" s="221"/>
      <c r="H4" s="109"/>
      <c r="I4" s="29"/>
      <c r="J4" s="42"/>
      <c r="K4" s="42"/>
    </row>
    <row r="5" spans="1:16" ht="11.25" customHeight="1" x14ac:dyDescent="0.35">
      <c r="A5" s="53"/>
      <c r="B5" s="79"/>
      <c r="C5" s="79"/>
      <c r="D5" s="79"/>
      <c r="E5" s="80"/>
      <c r="F5" s="80"/>
      <c r="G5" s="80"/>
      <c r="H5" s="42"/>
      <c r="J5" s="42"/>
      <c r="K5" s="42"/>
    </row>
    <row r="6" spans="1:16" ht="18" customHeight="1" x14ac:dyDescent="0.35">
      <c r="A6" s="55" t="s">
        <v>9</v>
      </c>
      <c r="B6" s="229" t="s">
        <v>11</v>
      </c>
      <c r="C6" s="229"/>
      <c r="D6" s="101"/>
      <c r="E6" s="53" t="s">
        <v>82</v>
      </c>
      <c r="F6" s="97"/>
      <c r="G6" s="124">
        <v>0</v>
      </c>
      <c r="I6" s="97"/>
    </row>
    <row r="7" spans="1:16" s="30" customFormat="1" ht="18" customHeight="1" x14ac:dyDescent="0.35">
      <c r="A7" s="55" t="s">
        <v>7</v>
      </c>
      <c r="B7" s="230" t="s">
        <v>12</v>
      </c>
      <c r="C7" s="230"/>
      <c r="E7" s="105" t="s">
        <v>79</v>
      </c>
      <c r="F7" s="97"/>
      <c r="G7" s="125">
        <v>0</v>
      </c>
      <c r="I7" s="97"/>
    </row>
    <row r="8" spans="1:16" s="30" customFormat="1" ht="18" customHeight="1" x14ac:dyDescent="0.35">
      <c r="A8" s="82"/>
      <c r="B8" s="100"/>
      <c r="E8" s="106" t="s">
        <v>80</v>
      </c>
      <c r="F8" s="98"/>
      <c r="G8" s="125">
        <v>0</v>
      </c>
      <c r="I8" s="98"/>
    </row>
    <row r="9" spans="1:16" ht="18" customHeight="1" x14ac:dyDescent="0.35">
      <c r="A9" s="82"/>
      <c r="B9" s="100"/>
      <c r="D9" s="101"/>
      <c r="E9" s="106" t="s">
        <v>81</v>
      </c>
      <c r="F9" s="98"/>
      <c r="G9" s="125">
        <v>0</v>
      </c>
      <c r="I9" s="98"/>
      <c r="O9" s="108"/>
      <c r="P9" s="213" t="s">
        <v>22</v>
      </c>
    </row>
    <row r="10" spans="1:16" s="28" customFormat="1" ht="27" customHeight="1" x14ac:dyDescent="0.2">
      <c r="A10" s="193" t="s">
        <v>3</v>
      </c>
      <c r="B10" s="194"/>
      <c r="C10" s="99"/>
      <c r="D10" s="29"/>
      <c r="E10" s="29"/>
      <c r="F10" s="32"/>
      <c r="G10" s="32"/>
      <c r="H10" s="48">
        <f>SUM(G6:G9)</f>
        <v>0</v>
      </c>
      <c r="O10" s="81"/>
      <c r="P10" s="213"/>
    </row>
    <row r="11" spans="1:16" s="35" customFormat="1" ht="4.5" customHeight="1" x14ac:dyDescent="0.2">
      <c r="A11" s="33"/>
      <c r="B11" s="33"/>
      <c r="C11" s="34"/>
      <c r="D11" s="34"/>
      <c r="E11" s="34"/>
      <c r="F11" s="34"/>
      <c r="G11" s="34"/>
      <c r="I11" s="36"/>
      <c r="J11" s="37"/>
      <c r="O11" s="45"/>
      <c r="P11" s="213"/>
    </row>
    <row r="12" spans="1:16" s="47" customFormat="1" ht="38.25" customHeight="1" x14ac:dyDescent="0.2">
      <c r="A12" s="56" t="str">
        <f>CONCATENATE(B7,O12)</f>
        <v>Select your Region224</v>
      </c>
      <c r="B12" s="57"/>
      <c r="C12" s="214" t="s">
        <v>36</v>
      </c>
      <c r="D12" s="215"/>
      <c r="E12" s="216" t="s">
        <v>38</v>
      </c>
      <c r="F12" s="217"/>
      <c r="G12" s="107"/>
      <c r="I12" s="224"/>
      <c r="O12" s="81">
        <f>IF(H10&gt;24,2550,224)</f>
        <v>224</v>
      </c>
      <c r="P12" s="213"/>
    </row>
    <row r="13" spans="1:16" s="47" customFormat="1" x14ac:dyDescent="0.2">
      <c r="A13" s="220"/>
      <c r="B13" s="220"/>
      <c r="C13" s="127" t="s">
        <v>18</v>
      </c>
      <c r="D13" s="112" t="s">
        <v>21</v>
      </c>
      <c r="E13" s="114" t="s">
        <v>18</v>
      </c>
      <c r="F13" s="115" t="s">
        <v>21</v>
      </c>
      <c r="G13" s="59"/>
      <c r="I13" s="224"/>
    </row>
    <row r="14" spans="1:16" s="59" customFormat="1" ht="20.100000000000001" customHeight="1" x14ac:dyDescent="0.2">
      <c r="A14" s="192" t="s">
        <v>83</v>
      </c>
      <c r="B14" s="192"/>
      <c r="C14" s="58">
        <f>VLOOKUP(Area_GroupSize_0250,List_RateTable_SG,10,FALSE)</f>
        <v>0</v>
      </c>
      <c r="D14" s="58">
        <f>VLOOKUP(Area_GroupSize_0250,List_RateTable_SG,14,FALSE)</f>
        <v>0</v>
      </c>
      <c r="E14" s="58">
        <f>VLOOKUP(Area_GroupSize_0250,List_RateTable_SG,26,FALSE)</f>
        <v>0</v>
      </c>
      <c r="F14" s="58">
        <f>VLOOKUP(Area_GroupSize_0250,List_RateTable_SG,30,FALSE)</f>
        <v>0</v>
      </c>
      <c r="I14" s="224"/>
    </row>
    <row r="15" spans="1:16" s="59" customFormat="1" ht="20.100000000000001" customHeight="1" x14ac:dyDescent="0.2">
      <c r="A15" s="192" t="s">
        <v>84</v>
      </c>
      <c r="B15" s="192"/>
      <c r="C15" s="60">
        <f>VLOOKUP(Area_GroupSize_0250,List_RateTable_SG,11,FALSE)</f>
        <v>0</v>
      </c>
      <c r="D15" s="60">
        <f>VLOOKUP(Area_GroupSize_0250,List_RateTable_SG,15,FALSE)</f>
        <v>0</v>
      </c>
      <c r="E15" s="60">
        <f>VLOOKUP(Area_GroupSize_0250,List_RateTable_SG,27,FALSE)</f>
        <v>0</v>
      </c>
      <c r="F15" s="60">
        <f>VLOOKUP(Area_GroupSize_0250,List_RateTable_SG,31,FALSE)</f>
        <v>0</v>
      </c>
      <c r="I15" s="61"/>
    </row>
    <row r="16" spans="1:16" s="59" customFormat="1" ht="20.100000000000001" customHeight="1" x14ac:dyDescent="0.2">
      <c r="A16" s="192" t="s">
        <v>85</v>
      </c>
      <c r="B16" s="192"/>
      <c r="C16" s="58">
        <f>VLOOKUP(Area_GroupSize_0250,List_RateTable_SG,12,FALSE)</f>
        <v>0</v>
      </c>
      <c r="D16" s="58">
        <f>VLOOKUP(Area_GroupSize_0250,List_RateTable_SG,16,FALSE)</f>
        <v>0</v>
      </c>
      <c r="E16" s="58">
        <f>VLOOKUP(Area_GroupSize_0250,List_RateTable_SG,28,FALSE)</f>
        <v>0</v>
      </c>
      <c r="F16" s="58">
        <f>VLOOKUP(Area_GroupSize_0250,List_RateTable_SG,32,FALSE)</f>
        <v>0</v>
      </c>
      <c r="I16" s="62"/>
    </row>
    <row r="17" spans="1:14" s="59" customFormat="1" ht="20.100000000000001" customHeight="1" x14ac:dyDescent="0.2">
      <c r="A17" s="192" t="s">
        <v>86</v>
      </c>
      <c r="B17" s="192"/>
      <c r="C17" s="60">
        <f>VLOOKUP(Area_GroupSize_0250,List_RateTable_SG,13,FALSE)</f>
        <v>0</v>
      </c>
      <c r="D17" s="60">
        <f>VLOOKUP(Area_GroupSize_0250,List_RateTable_SG,17,FALSE)</f>
        <v>0</v>
      </c>
      <c r="E17" s="60">
        <f>VLOOKUP(Area_GroupSize_0250,List_RateTable_SG,29,FALSE)</f>
        <v>0</v>
      </c>
      <c r="F17" s="60">
        <f>VLOOKUP(Area_GroupSize_0250,List_RateTable_SG,33,FALSE)</f>
        <v>0</v>
      </c>
      <c r="G17" s="47"/>
      <c r="I17" s="62"/>
    </row>
    <row r="18" spans="1:14" s="47" customFormat="1" ht="22.5" customHeight="1" x14ac:dyDescent="0.2">
      <c r="A18" s="218" t="s">
        <v>0</v>
      </c>
      <c r="B18" s="219"/>
      <c r="C18" s="122">
        <f>SUM((C14*$G6)+(C15*$G7)+(C16*$G8)+(C17*$G9))</f>
        <v>0</v>
      </c>
      <c r="D18" s="122">
        <f>SUM((D14*$G6)+(D15*$G7)+(D16*$G8)+(D17*$G9))</f>
        <v>0</v>
      </c>
      <c r="E18" s="117">
        <f>SUM((E14*$G6)+(E15*$G7)+(E16*$G8)+(E17*$G9))</f>
        <v>0</v>
      </c>
      <c r="F18" s="116">
        <f>SUM((F14*$G6)+(F15*$G7)+(F16*$G8)+(F17*$G9))</f>
        <v>0</v>
      </c>
      <c r="G18" s="38"/>
      <c r="I18" s="63"/>
    </row>
    <row r="19" spans="1:14" s="38" customFormat="1" ht="11.25" customHeight="1" x14ac:dyDescent="0.2">
      <c r="A19" s="234" t="s">
        <v>8</v>
      </c>
      <c r="B19" s="234"/>
      <c r="C19" s="191"/>
      <c r="D19" s="191"/>
      <c r="E19" s="191"/>
      <c r="F19" s="191"/>
    </row>
    <row r="20" spans="1:14" s="64" customFormat="1" ht="27" customHeight="1" x14ac:dyDescent="0.2">
      <c r="A20" s="193" t="s">
        <v>2</v>
      </c>
      <c r="B20" s="194"/>
      <c r="C20" s="198"/>
      <c r="D20" s="198"/>
      <c r="E20" s="198"/>
      <c r="F20" s="198"/>
      <c r="G20" s="47"/>
      <c r="J20" s="65"/>
    </row>
    <row r="21" spans="1:14" s="67" customFormat="1" ht="4.5" customHeight="1" x14ac:dyDescent="0.2">
      <c r="A21" s="66"/>
      <c r="B21" s="66"/>
      <c r="C21" s="66"/>
      <c r="D21" s="66"/>
      <c r="E21" s="66"/>
      <c r="F21" s="66"/>
      <c r="G21" s="59"/>
      <c r="J21" s="68"/>
    </row>
    <row r="22" spans="1:14" s="69" customFormat="1" ht="45" customHeight="1" x14ac:dyDescent="0.2">
      <c r="A22" s="197" t="s">
        <v>127</v>
      </c>
      <c r="B22" s="197"/>
      <c r="C22" s="197"/>
      <c r="D22" s="197"/>
      <c r="E22" s="197"/>
      <c r="F22" s="197"/>
      <c r="G22" s="166"/>
      <c r="H22" s="166"/>
      <c r="I22" s="166"/>
      <c r="J22" s="166"/>
      <c r="K22" s="166"/>
      <c r="L22" s="166"/>
      <c r="M22" s="166"/>
      <c r="N22" s="166"/>
    </row>
    <row r="23" spans="1:14" s="47" customFormat="1" ht="41.25" customHeight="1" x14ac:dyDescent="0.2">
      <c r="C23" s="211" t="s">
        <v>36</v>
      </c>
      <c r="D23" s="212"/>
      <c r="E23" s="228" t="s">
        <v>38</v>
      </c>
      <c r="F23" s="228"/>
      <c r="H23" s="68"/>
      <c r="I23" s="68"/>
      <c r="J23" s="68"/>
      <c r="K23" s="68"/>
      <c r="L23" s="68"/>
      <c r="M23" s="68"/>
      <c r="N23" s="68"/>
    </row>
    <row r="24" spans="1:14" s="47" customFormat="1" x14ac:dyDescent="0.2">
      <c r="A24" s="220"/>
      <c r="B24" s="220"/>
      <c r="C24" s="167" t="s">
        <v>18</v>
      </c>
      <c r="D24" s="168" t="s">
        <v>21</v>
      </c>
      <c r="E24" s="169" t="s">
        <v>18</v>
      </c>
      <c r="F24" s="170" t="s">
        <v>21</v>
      </c>
      <c r="G24" s="38"/>
      <c r="I24" s="63"/>
    </row>
    <row r="25" spans="1:14" s="59" customFormat="1" ht="36.75" customHeight="1" x14ac:dyDescent="0.2">
      <c r="A25" s="195" t="s">
        <v>73</v>
      </c>
      <c r="B25" s="233"/>
      <c r="C25" s="156">
        <v>20</v>
      </c>
      <c r="D25" s="156">
        <v>15</v>
      </c>
      <c r="E25" s="156">
        <v>20</v>
      </c>
      <c r="F25" s="156">
        <v>15</v>
      </c>
      <c r="G25" s="47"/>
    </row>
    <row r="26" spans="1:14" s="59" customFormat="1" ht="36.75" customHeight="1" x14ac:dyDescent="0.2">
      <c r="A26" s="195" t="s">
        <v>74</v>
      </c>
      <c r="B26" s="232"/>
      <c r="C26" s="70">
        <v>20</v>
      </c>
      <c r="D26" s="70">
        <v>20</v>
      </c>
      <c r="E26" s="70">
        <v>20</v>
      </c>
      <c r="F26" s="70">
        <v>20</v>
      </c>
    </row>
    <row r="27" spans="1:14" s="59" customFormat="1" ht="54" customHeight="1" x14ac:dyDescent="0.2">
      <c r="A27" s="195" t="s">
        <v>75</v>
      </c>
      <c r="B27" s="233"/>
      <c r="C27" s="156">
        <v>20</v>
      </c>
      <c r="D27" s="156">
        <v>15</v>
      </c>
      <c r="E27" s="156">
        <v>20</v>
      </c>
      <c r="F27" s="156">
        <v>15</v>
      </c>
      <c r="I27" s="63"/>
    </row>
    <row r="28" spans="1:14" s="59" customFormat="1" ht="36.75" customHeight="1" x14ac:dyDescent="0.2">
      <c r="A28" s="195" t="s">
        <v>76</v>
      </c>
      <c r="B28" s="233"/>
      <c r="C28" s="157">
        <v>50</v>
      </c>
      <c r="D28" s="157">
        <v>50</v>
      </c>
      <c r="E28" s="157">
        <v>50</v>
      </c>
      <c r="F28" s="157">
        <v>50</v>
      </c>
      <c r="I28" s="71"/>
    </row>
    <row r="29" spans="1:14" s="59" customFormat="1" ht="98.25" customHeight="1" x14ac:dyDescent="0.2">
      <c r="A29" s="195" t="s">
        <v>133</v>
      </c>
      <c r="B29" s="196"/>
      <c r="C29" s="199" t="s">
        <v>135</v>
      </c>
      <c r="D29" s="199"/>
      <c r="E29" s="199"/>
      <c r="F29" s="199"/>
      <c r="I29" s="62"/>
    </row>
    <row r="30" spans="1:14" s="59" customFormat="1" ht="207.75" customHeight="1" x14ac:dyDescent="0.2">
      <c r="A30" s="195" t="s">
        <v>77</v>
      </c>
      <c r="B30" s="196"/>
      <c r="C30" s="231" t="s">
        <v>87</v>
      </c>
      <c r="D30" s="231"/>
      <c r="E30" s="200" t="s">
        <v>88</v>
      </c>
      <c r="F30" s="200"/>
      <c r="G30" s="47"/>
      <c r="I30" s="62"/>
    </row>
    <row r="31" spans="1:14" s="50" customFormat="1" ht="7.5" customHeight="1" x14ac:dyDescent="0.2">
      <c r="A31" s="201"/>
      <c r="B31" s="202"/>
      <c r="C31" s="203"/>
      <c r="D31" s="203"/>
      <c r="E31" s="203"/>
      <c r="F31" s="203"/>
      <c r="G31" s="203"/>
      <c r="H31" s="203"/>
      <c r="I31" s="203"/>
      <c r="J31" s="203"/>
      <c r="K31" s="203"/>
      <c r="M31" s="72"/>
    </row>
    <row r="32" spans="1:14" s="73" customFormat="1" ht="27" customHeight="1" x14ac:dyDescent="0.2">
      <c r="A32" s="204" t="s">
        <v>4</v>
      </c>
      <c r="B32" s="205"/>
    </row>
    <row r="33" spans="1:150" s="74" customFormat="1" ht="9.75" customHeight="1" x14ac:dyDescent="0.2">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row>
    <row r="34" spans="1:150" s="73" customFormat="1" ht="36" customHeight="1" x14ac:dyDescent="0.2">
      <c r="A34" s="206" t="s">
        <v>72</v>
      </c>
      <c r="B34" s="207"/>
      <c r="C34" s="208"/>
      <c r="D34" s="209"/>
      <c r="E34" s="210" t="s">
        <v>71</v>
      </c>
      <c r="F34" s="210"/>
      <c r="G34" s="210"/>
      <c r="H34" s="47"/>
      <c r="K34" s="103"/>
    </row>
    <row r="35" spans="1:150" s="47" customFormat="1" ht="45.75" customHeight="1" x14ac:dyDescent="0.2">
      <c r="A35" s="189" t="s">
        <v>131</v>
      </c>
      <c r="B35" s="189"/>
      <c r="C35" s="189"/>
      <c r="D35" s="189"/>
      <c r="E35" s="189"/>
      <c r="F35" s="189"/>
      <c r="G35" s="102"/>
      <c r="I35" s="63"/>
    </row>
    <row r="36" spans="1:150" x14ac:dyDescent="0.35">
      <c r="A36" s="42"/>
      <c r="B36" s="42"/>
      <c r="C36" s="42"/>
      <c r="D36" s="42"/>
      <c r="E36" s="190"/>
      <c r="F36" s="190"/>
      <c r="H36" s="42"/>
      <c r="J36" s="42"/>
      <c r="K36" s="42"/>
    </row>
    <row r="37" spans="1:150" x14ac:dyDescent="0.35">
      <c r="A37" s="42"/>
      <c r="B37" s="42"/>
      <c r="C37" s="42"/>
      <c r="D37" s="42"/>
      <c r="E37" s="190"/>
      <c r="F37" s="190"/>
      <c r="H37" s="42"/>
      <c r="J37" s="42"/>
      <c r="K37" s="42"/>
    </row>
    <row r="38" spans="1:150" x14ac:dyDescent="0.35">
      <c r="A38" s="42"/>
      <c r="B38" s="42"/>
      <c r="C38" s="42"/>
      <c r="D38" s="42"/>
      <c r="E38" s="190"/>
      <c r="F38" s="190"/>
      <c r="H38" s="42"/>
      <c r="J38" s="42"/>
      <c r="K38" s="42"/>
    </row>
    <row r="39" spans="1:150" x14ac:dyDescent="0.35">
      <c r="A39" s="42"/>
      <c r="B39" s="42"/>
      <c r="C39" s="42"/>
      <c r="D39" s="42"/>
      <c r="E39" s="190"/>
      <c r="F39" s="190"/>
      <c r="H39" s="42"/>
      <c r="J39" s="42"/>
      <c r="K39" s="42"/>
    </row>
    <row r="40" spans="1:150" x14ac:dyDescent="0.35">
      <c r="A40" s="42"/>
      <c r="B40" s="42"/>
      <c r="C40" s="42"/>
      <c r="D40" s="42"/>
      <c r="E40" s="190"/>
      <c r="F40" s="190"/>
      <c r="H40" s="42"/>
      <c r="J40" s="42"/>
      <c r="K40" s="42"/>
    </row>
    <row r="41" spans="1:150" x14ac:dyDescent="0.35">
      <c r="E41" s="190"/>
      <c r="F41" s="190"/>
    </row>
    <row r="42" spans="1:150" x14ac:dyDescent="0.35">
      <c r="E42" s="190"/>
      <c r="F42" s="190"/>
    </row>
  </sheetData>
  <sheetProtection algorithmName="SHA-512" hashValue="EoC8CNEQobmozsWXN1fixsdEumGv+T8tGrywgYWs9X2KtMz8cQAF5KsI9YeS9yEA01dIx9ugPDcJnZ4LrrWOAw==" saltValue="cGC+P0BcTwwFwdkSE3CV5Q==" spinCount="100000" sheet="1" objects="1" scenarios="1" selectLockedCells="1"/>
  <protectedRanges>
    <protectedRange sqref="A34:G34" name="Contact_License"/>
  </protectedRanges>
  <mergeCells count="48">
    <mergeCell ref="E23:F23"/>
    <mergeCell ref="B6:C6"/>
    <mergeCell ref="B7:C7"/>
    <mergeCell ref="C30:D30"/>
    <mergeCell ref="A26:B26"/>
    <mergeCell ref="A28:B28"/>
    <mergeCell ref="A29:B29"/>
    <mergeCell ref="E19:F19"/>
    <mergeCell ref="A19:B19"/>
    <mergeCell ref="A27:B27"/>
    <mergeCell ref="A24:B24"/>
    <mergeCell ref="A25:B25"/>
    <mergeCell ref="B4:G4"/>
    <mergeCell ref="A1:F1"/>
    <mergeCell ref="I12:I14"/>
    <mergeCell ref="A2:K2"/>
    <mergeCell ref="C3:F3"/>
    <mergeCell ref="A3:B3"/>
    <mergeCell ref="P9:P12"/>
    <mergeCell ref="C12:D12"/>
    <mergeCell ref="E12:F12"/>
    <mergeCell ref="A18:B18"/>
    <mergeCell ref="A10:B10"/>
    <mergeCell ref="A17:B17"/>
    <mergeCell ref="A14:B14"/>
    <mergeCell ref="A13:B13"/>
    <mergeCell ref="E42:F42"/>
    <mergeCell ref="E36:F36"/>
    <mergeCell ref="E37:F37"/>
    <mergeCell ref="E38:F38"/>
    <mergeCell ref="E39:F39"/>
    <mergeCell ref="E41:F41"/>
    <mergeCell ref="A35:F35"/>
    <mergeCell ref="E40:F40"/>
    <mergeCell ref="C19:D19"/>
    <mergeCell ref="A15:B15"/>
    <mergeCell ref="A20:B20"/>
    <mergeCell ref="A30:B30"/>
    <mergeCell ref="A22:F22"/>
    <mergeCell ref="A16:B16"/>
    <mergeCell ref="C20:F20"/>
    <mergeCell ref="C29:F29"/>
    <mergeCell ref="E30:F30"/>
    <mergeCell ref="A31:K31"/>
    <mergeCell ref="A32:B32"/>
    <mergeCell ref="A34:D34"/>
    <mergeCell ref="E34:G34"/>
    <mergeCell ref="C23:D23"/>
  </mergeCells>
  <conditionalFormatting sqref="P9:P12">
    <cfRule type="expression" dxfId="32" priority="80" stopIfTrue="1">
      <formula>$H$10&gt;50</formula>
    </cfRule>
  </conditionalFormatting>
  <conditionalFormatting sqref="C14:F14 C16:F16">
    <cfRule type="expression" dxfId="31" priority="83" stopIfTrue="1">
      <formula>$H$10&gt;50</formula>
    </cfRule>
    <cfRule type="expression" dxfId="30" priority="84" stopIfTrue="1">
      <formula>$H$10=0</formula>
    </cfRule>
  </conditionalFormatting>
  <conditionalFormatting sqref="C15:F15 C17:F17">
    <cfRule type="expression" dxfId="29" priority="87">
      <formula>$H$10&gt;50</formula>
    </cfRule>
    <cfRule type="expression" dxfId="28" priority="88">
      <formula>$H$10=0</formula>
    </cfRule>
  </conditionalFormatting>
  <conditionalFormatting sqref="C18:D18">
    <cfRule type="expression" dxfId="27" priority="81" stopIfTrue="1">
      <formula>$H$10=0</formula>
    </cfRule>
    <cfRule type="expression" dxfId="26" priority="82" stopIfTrue="1">
      <formula>$H$10&gt;50</formula>
    </cfRule>
  </conditionalFormatting>
  <conditionalFormatting sqref="E18:F18">
    <cfRule type="expression" dxfId="25" priority="2">
      <formula>$H$10=0</formula>
    </cfRule>
  </conditionalFormatting>
  <conditionalFormatting sqref="E18">
    <cfRule type="expression" dxfId="24" priority="1">
      <formula>$H$10&gt;50</formula>
    </cfRule>
  </conditionalFormatting>
  <dataValidations disablePrompts="1" xWindow="330" yWindow="465" count="3">
    <dataValidation allowBlank="1" sqref="A5:A9 B8:B9 E6:E9 B5:G5 O9:O12 G6:G9 H10" xr:uid="{00000000-0002-0000-0100-000000000000}"/>
    <dataValidation type="list" allowBlank="1" sqref="B7" xr:uid="{00000000-0002-0000-0100-000001000000}">
      <formula1>List_Area</formula1>
    </dataValidation>
    <dataValidation type="list" allowBlank="1" sqref="B6" xr:uid="{00000000-0002-0000-0100-000002000000}">
      <formula1>List_EffDate</formula1>
    </dataValidation>
  </dataValidations>
  <printOptions horizontalCentered="1"/>
  <pageMargins left="0.4" right="0.4" top="0.5" bottom="0.4" header="0" footer="0.3"/>
  <pageSetup scale="62" orientation="portrait" horizontalDpi="1200" verticalDpi="1200" r:id="rId1"/>
  <headerFooter>
    <oddFooter>&amp;L&amp;D&amp;RCPS-006  05/22</oddFooter>
  </headerFooter>
  <rowBreaks count="1" manualBreakCount="1">
    <brk id="19"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65"/>
  <sheetViews>
    <sheetView showGridLines="0" zoomScaleNormal="100" zoomScaleSheetLayoutView="98" workbookViewId="0">
      <selection activeCell="B4" sqref="B4:N4"/>
    </sheetView>
  </sheetViews>
  <sheetFormatPr defaultColWidth="9.140625" defaultRowHeight="18" x14ac:dyDescent="0.35"/>
  <cols>
    <col min="1" max="1" width="18.5703125" style="42" customWidth="1"/>
    <col min="2" max="2" width="22.28515625" style="42" customWidth="1"/>
    <col min="3" max="14" width="13.42578125" style="42" customWidth="1"/>
    <col min="15" max="15" width="42.7109375" style="42" customWidth="1"/>
    <col min="16" max="16" width="13" style="25" customWidth="1"/>
    <col min="17" max="16384" width="9.140625" style="42"/>
  </cols>
  <sheetData>
    <row r="1" spans="1:16" ht="70.5" customHeight="1" x14ac:dyDescent="0.35">
      <c r="A1" s="222"/>
      <c r="B1" s="223"/>
      <c r="C1" s="223"/>
      <c r="D1" s="223"/>
      <c r="E1" s="223"/>
      <c r="F1" s="223"/>
      <c r="G1" s="223"/>
      <c r="H1" s="223"/>
      <c r="I1" s="223"/>
      <c r="J1" s="223"/>
      <c r="K1" s="223"/>
      <c r="L1" s="223"/>
      <c r="M1" s="223"/>
      <c r="N1" s="223"/>
    </row>
    <row r="2" spans="1:16" s="26" customFormat="1" ht="26.25" customHeight="1" x14ac:dyDescent="0.35">
      <c r="A2" s="225" t="s">
        <v>60</v>
      </c>
      <c r="B2" s="225"/>
      <c r="C2" s="225"/>
      <c r="D2" s="225"/>
      <c r="E2" s="225"/>
      <c r="F2" s="225"/>
      <c r="G2" s="225"/>
      <c r="H2" s="225"/>
      <c r="I2" s="225"/>
      <c r="J2" s="225"/>
      <c r="K2" s="225"/>
      <c r="L2" s="225"/>
      <c r="M2" s="225"/>
      <c r="N2" s="225"/>
      <c r="P2" s="27"/>
    </row>
    <row r="3" spans="1:16" s="28" customFormat="1" ht="27" customHeight="1" x14ac:dyDescent="0.2">
      <c r="A3" s="193" t="s">
        <v>1</v>
      </c>
      <c r="B3" s="240"/>
      <c r="C3" s="240"/>
      <c r="D3" s="240"/>
      <c r="E3" s="238"/>
      <c r="F3" s="239"/>
      <c r="G3" s="239"/>
      <c r="H3" s="239"/>
      <c r="I3" s="239"/>
      <c r="J3" s="239"/>
      <c r="K3" s="239"/>
      <c r="L3" s="239"/>
      <c r="M3" s="239"/>
      <c r="N3" s="239"/>
      <c r="P3" s="29"/>
    </row>
    <row r="4" spans="1:16" s="47" customFormat="1" ht="36.950000000000003" customHeight="1" x14ac:dyDescent="0.25">
      <c r="A4" s="53" t="s">
        <v>5</v>
      </c>
      <c r="B4" s="235"/>
      <c r="C4" s="235"/>
      <c r="D4" s="235"/>
      <c r="E4" s="235"/>
      <c r="F4" s="235"/>
      <c r="G4" s="235"/>
      <c r="H4" s="235"/>
      <c r="I4" s="235"/>
      <c r="J4" s="235"/>
      <c r="K4" s="235"/>
      <c r="L4" s="235"/>
      <c r="M4" s="235"/>
      <c r="N4" s="235"/>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45" t="s">
        <v>11</v>
      </c>
      <c r="C6" s="245"/>
      <c r="D6" s="245"/>
      <c r="G6" s="237" t="s">
        <v>78</v>
      </c>
      <c r="H6" s="237"/>
      <c r="I6" s="237"/>
      <c r="J6" s="237"/>
      <c r="K6" s="242">
        <v>0</v>
      </c>
      <c r="L6" s="242"/>
      <c r="M6" s="52"/>
      <c r="N6" s="52"/>
      <c r="O6" s="243" t="s">
        <v>37</v>
      </c>
      <c r="P6" s="63"/>
    </row>
    <row r="7" spans="1:16" s="77" customFormat="1" ht="18" customHeight="1" x14ac:dyDescent="0.25">
      <c r="A7" s="55" t="s">
        <v>7</v>
      </c>
      <c r="B7" s="246" t="s">
        <v>12</v>
      </c>
      <c r="C7" s="246"/>
      <c r="D7" s="246"/>
      <c r="E7" s="47"/>
      <c r="F7" s="47"/>
      <c r="G7" s="237" t="s">
        <v>79</v>
      </c>
      <c r="H7" s="237"/>
      <c r="I7" s="237"/>
      <c r="J7" s="237"/>
      <c r="K7" s="236">
        <v>0</v>
      </c>
      <c r="L7" s="236"/>
      <c r="M7" s="45"/>
      <c r="N7" s="49"/>
      <c r="O7" s="243"/>
      <c r="P7" s="63"/>
    </row>
    <row r="8" spans="1:16" s="77" customFormat="1" ht="18" customHeight="1" x14ac:dyDescent="0.25">
      <c r="A8" s="54"/>
      <c r="B8" s="241"/>
      <c r="C8" s="241"/>
      <c r="D8" s="47"/>
      <c r="E8" s="47"/>
      <c r="F8" s="47"/>
      <c r="G8" s="250" t="s">
        <v>80</v>
      </c>
      <c r="H8" s="250"/>
      <c r="I8" s="250"/>
      <c r="J8" s="250"/>
      <c r="K8" s="236">
        <v>0</v>
      </c>
      <c r="L8" s="236"/>
      <c r="M8" s="46"/>
      <c r="N8" s="45"/>
      <c r="O8" s="243"/>
      <c r="P8" s="78"/>
    </row>
    <row r="9" spans="1:16" s="47" customFormat="1" ht="18" customHeight="1" x14ac:dyDescent="0.25">
      <c r="A9" s="54"/>
      <c r="B9" s="241"/>
      <c r="C9" s="241"/>
      <c r="G9" s="250" t="s">
        <v>81</v>
      </c>
      <c r="H9" s="250"/>
      <c r="I9" s="250"/>
      <c r="J9" s="250"/>
      <c r="K9" s="236">
        <v>0</v>
      </c>
      <c r="L9" s="236"/>
      <c r="M9" s="48">
        <f>SUM(K6:K9)</f>
        <v>0</v>
      </c>
      <c r="N9" s="49">
        <f>IF(M9&gt;100,101199,51100)</f>
        <v>51100</v>
      </c>
      <c r="O9" s="243"/>
      <c r="P9" s="63"/>
    </row>
    <row r="10" spans="1:16" s="31" customFormat="1" ht="10.5" customHeight="1" x14ac:dyDescent="0.2">
      <c r="A10" s="244"/>
      <c r="B10" s="244"/>
      <c r="C10" s="244"/>
      <c r="D10" s="244"/>
      <c r="E10" s="244"/>
      <c r="F10" s="244"/>
      <c r="G10" s="244"/>
      <c r="H10" s="244"/>
      <c r="I10" s="244"/>
      <c r="J10" s="244"/>
      <c r="K10" s="244"/>
      <c r="L10" s="244"/>
      <c r="M10" s="244"/>
      <c r="N10" s="244"/>
    </row>
    <row r="11" spans="1:16" s="64" customFormat="1" ht="27" customHeight="1" x14ac:dyDescent="0.2">
      <c r="A11" s="275" t="s">
        <v>3</v>
      </c>
      <c r="B11" s="252"/>
      <c r="C11" s="252"/>
      <c r="D11" s="252"/>
      <c r="E11" s="251"/>
      <c r="F11" s="252"/>
      <c r="G11" s="252"/>
      <c r="H11" s="252"/>
      <c r="I11" s="252"/>
      <c r="J11" s="252"/>
      <c r="K11" s="252"/>
      <c r="L11" s="252"/>
      <c r="M11" s="252"/>
      <c r="N11" s="252"/>
      <c r="P11" s="76"/>
    </row>
    <row r="12" spans="1:16" s="67" customFormat="1" ht="4.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CONCATENATE("Chiro",$B$7,$N$9)</f>
        <v>ChiroSelect your Region51100</v>
      </c>
      <c r="B13" s="63"/>
      <c r="C13" s="214" t="s">
        <v>36</v>
      </c>
      <c r="D13" s="253"/>
      <c r="E13" s="253"/>
      <c r="F13" s="253"/>
      <c r="G13" s="253"/>
      <c r="H13" s="215"/>
      <c r="P13" s="224"/>
    </row>
    <row r="14" spans="1:16" s="47" customFormat="1" ht="21" customHeight="1" x14ac:dyDescent="0.2">
      <c r="A14" s="56"/>
      <c r="C14" s="247" t="s">
        <v>20</v>
      </c>
      <c r="D14" s="248"/>
      <c r="E14" s="248"/>
      <c r="F14" s="248"/>
      <c r="G14" s="248"/>
      <c r="H14" s="249"/>
      <c r="P14" s="224"/>
    </row>
    <row r="15" spans="1:16" s="47" customFormat="1" x14ac:dyDescent="0.2">
      <c r="A15" s="220"/>
      <c r="B15" s="220"/>
      <c r="C15" s="127" t="s">
        <v>32</v>
      </c>
      <c r="D15" s="112" t="s">
        <v>33</v>
      </c>
      <c r="E15" s="112" t="s">
        <v>21</v>
      </c>
      <c r="F15" s="112" t="s">
        <v>34</v>
      </c>
      <c r="G15" s="112" t="s">
        <v>18</v>
      </c>
      <c r="H15" s="113" t="s">
        <v>35</v>
      </c>
      <c r="P15" s="224"/>
    </row>
    <row r="16" spans="1:16" s="59" customFormat="1" ht="20.100000000000001" customHeight="1" x14ac:dyDescent="0.2">
      <c r="A16" s="192" t="s">
        <v>83</v>
      </c>
      <c r="B16" s="192"/>
      <c r="C16" s="58">
        <f>VLOOKUP(Area_Chiro_GroupSize_51199,List_RateTable_LG,26,FALSE)</f>
        <v>0</v>
      </c>
      <c r="D16" s="58">
        <f>VLOOKUP(Area_Chiro_GroupSize_51199,List_RateTable_LG,30,FALSE)</f>
        <v>0</v>
      </c>
      <c r="E16" s="58">
        <f>VLOOKUP(Area_Chiro_GroupSize_51199,List_RateTable_LG,34,FALSE)</f>
        <v>0</v>
      </c>
      <c r="F16" s="58">
        <f>VLOOKUP(Area_Chiro_GroupSize_51199,List_RateTable_LG,38,FALSE)</f>
        <v>0</v>
      </c>
      <c r="G16" s="58">
        <f>VLOOKUP(Area_Chiro_GroupSize_51199,List_RateTable_LG,42,FALSE)</f>
        <v>0</v>
      </c>
      <c r="H16" s="58">
        <f>VLOOKUP(Area_Chiro_GroupSize_51199,List_RateTable_LG,46,FALSE)</f>
        <v>0</v>
      </c>
      <c r="P16" s="224"/>
    </row>
    <row r="17" spans="1:16" s="59" customFormat="1" ht="20.100000000000001" customHeight="1" x14ac:dyDescent="0.2">
      <c r="A17" s="192" t="s">
        <v>84</v>
      </c>
      <c r="B17" s="192"/>
      <c r="C17" s="60">
        <f>VLOOKUP(Area_Chiro_GroupSize_51199,List_RateTable_LG,27,FALSE)</f>
        <v>0</v>
      </c>
      <c r="D17" s="60">
        <f>VLOOKUP(Area_Chiro_GroupSize_51199,List_RateTable_LG,31,FALSE)</f>
        <v>0</v>
      </c>
      <c r="E17" s="60">
        <f>VLOOKUP(Area_Chiro_GroupSize_51199,List_RateTable_LG,35,FALSE)</f>
        <v>0</v>
      </c>
      <c r="F17" s="60">
        <f>VLOOKUP(Area_Chiro_GroupSize_51199,List_RateTable_LG,39,FALSE)</f>
        <v>0</v>
      </c>
      <c r="G17" s="60">
        <f>VLOOKUP(Area_Chiro_GroupSize_51199,List_RateTable_LG,43,FALSE)</f>
        <v>0</v>
      </c>
      <c r="H17" s="60">
        <f>VLOOKUP(Area_Chiro_GroupSize_51199,List_RateTable_LG,47,FALSE)</f>
        <v>0</v>
      </c>
      <c r="P17" s="61"/>
    </row>
    <row r="18" spans="1:16" s="59" customFormat="1" ht="20.100000000000001" customHeight="1" x14ac:dyDescent="0.2">
      <c r="A18" s="192" t="s">
        <v>85</v>
      </c>
      <c r="B18" s="192"/>
      <c r="C18" s="58">
        <f>VLOOKUP(Area_Chiro_GroupSize_51199,List_RateTable_LG,28,FALSE)</f>
        <v>0</v>
      </c>
      <c r="D18" s="58">
        <f>VLOOKUP(Area_Chiro_GroupSize_51199,List_RateTable_LG,32,FALSE)</f>
        <v>0</v>
      </c>
      <c r="E18" s="58">
        <f>VLOOKUP(Area_Chiro_GroupSize_51199,List_RateTable_LG,36,FALSE)</f>
        <v>0</v>
      </c>
      <c r="F18" s="58">
        <f>VLOOKUP(Area_Chiro_GroupSize_51199,List_RateTable_LG,40,FALSE)</f>
        <v>0</v>
      </c>
      <c r="G18" s="58">
        <f>VLOOKUP(Area_Chiro_GroupSize_51199,List_RateTable_LG,44,FALSE)</f>
        <v>0</v>
      </c>
      <c r="H18" s="58">
        <f>VLOOKUP(Area_Chiro_GroupSize_51199,List_RateTable_LG,48,FALSE)</f>
        <v>0</v>
      </c>
      <c r="P18" s="62"/>
    </row>
    <row r="19" spans="1:16" s="59" customFormat="1" ht="19.5" customHeight="1" x14ac:dyDescent="0.2">
      <c r="A19" s="192" t="s">
        <v>86</v>
      </c>
      <c r="B19" s="192"/>
      <c r="C19" s="85">
        <f>VLOOKUP(Area_Chiro_GroupSize_51199,List_RateTable_LG,29,FALSE)</f>
        <v>0</v>
      </c>
      <c r="D19" s="85">
        <f>VLOOKUP(Area_Chiro_GroupSize_51199,List_RateTable_LG,33,FALSE)</f>
        <v>0</v>
      </c>
      <c r="E19" s="85">
        <f>VLOOKUP(Area_Chiro_GroupSize_51199,List_RateTable_LG,37,FALSE)</f>
        <v>0</v>
      </c>
      <c r="F19" s="85">
        <f>VLOOKUP(Area_Chiro_GroupSize_51199,List_RateTable_LG,41,FALSE)</f>
        <v>0</v>
      </c>
      <c r="G19" s="85">
        <f>VLOOKUP(Area_Chiro_GroupSize_51199,List_RateTable_LG,45,FALSE)</f>
        <v>0</v>
      </c>
      <c r="H19" s="85">
        <f>VLOOKUP(Area_Chiro_GroupSize_51199,List_RateTable_LG,49,FALSE)</f>
        <v>0</v>
      </c>
      <c r="P19" s="62"/>
    </row>
    <row r="20" spans="1:16" s="47" customFormat="1" ht="22.5" customHeight="1" x14ac:dyDescent="0.2">
      <c r="A20" s="254" t="s">
        <v>0</v>
      </c>
      <c r="B20" s="255"/>
      <c r="C20" s="118">
        <f t="shared" ref="C20:H20" si="0">SUM((C16*$K$6)+(C17*$K$7)+(C18*$K$8)+(C19*$K$9))</f>
        <v>0</v>
      </c>
      <c r="D20" s="118">
        <f t="shared" si="0"/>
        <v>0</v>
      </c>
      <c r="E20" s="118">
        <f t="shared" si="0"/>
        <v>0</v>
      </c>
      <c r="F20" s="118">
        <f t="shared" si="0"/>
        <v>0</v>
      </c>
      <c r="G20" s="118">
        <f t="shared" si="0"/>
        <v>0</v>
      </c>
      <c r="H20" s="119">
        <f t="shared" si="0"/>
        <v>0</v>
      </c>
      <c r="P20" s="63"/>
    </row>
    <row r="21" spans="1:16" s="38" customFormat="1" ht="20.25" customHeight="1" x14ac:dyDescent="0.2">
      <c r="A21" s="234"/>
      <c r="B21" s="234"/>
      <c r="C21" s="234"/>
      <c r="D21" s="234"/>
      <c r="E21" s="191"/>
      <c r="F21" s="191"/>
      <c r="G21" s="191"/>
      <c r="H21" s="191"/>
      <c r="I21" s="43"/>
      <c r="J21" s="43"/>
      <c r="K21" s="43"/>
      <c r="L21" s="43"/>
      <c r="M21" s="191"/>
      <c r="N21" s="191"/>
    </row>
    <row r="22" spans="1:16" s="47" customFormat="1" ht="24" customHeight="1" x14ac:dyDescent="0.2">
      <c r="A22" s="44"/>
      <c r="B22" s="44"/>
      <c r="C22" s="44"/>
      <c r="D22" s="44"/>
      <c r="E22" s="43"/>
      <c r="F22" s="43"/>
      <c r="G22" s="43"/>
      <c r="H22" s="43"/>
      <c r="I22" s="43"/>
      <c r="J22" s="43"/>
      <c r="K22" s="43"/>
      <c r="L22" s="43"/>
      <c r="M22" s="43"/>
      <c r="N22" s="43"/>
      <c r="P22" s="224"/>
    </row>
    <row r="23" spans="1:16" s="47" customFormat="1" ht="21" customHeight="1" x14ac:dyDescent="0.2">
      <c r="A23" s="56" t="str">
        <f>CONCATENATE("ChiroAcu",$B$7,$N$9)</f>
        <v>ChiroAcuSelect your Region51100</v>
      </c>
      <c r="B23" s="63"/>
      <c r="C23" s="214" t="s">
        <v>38</v>
      </c>
      <c r="D23" s="253"/>
      <c r="E23" s="253"/>
      <c r="F23" s="253"/>
      <c r="G23" s="253"/>
      <c r="H23" s="215"/>
      <c r="P23" s="224"/>
    </row>
    <row r="24" spans="1:16" s="59" customFormat="1" ht="20.100000000000001" customHeight="1" x14ac:dyDescent="0.2">
      <c r="A24" s="220"/>
      <c r="B24" s="220"/>
      <c r="C24" s="127" t="s">
        <v>32</v>
      </c>
      <c r="D24" s="112" t="s">
        <v>33</v>
      </c>
      <c r="E24" s="112" t="s">
        <v>21</v>
      </c>
      <c r="F24" s="112" t="s">
        <v>34</v>
      </c>
      <c r="G24" s="112" t="s">
        <v>18</v>
      </c>
      <c r="H24" s="113" t="s">
        <v>35</v>
      </c>
      <c r="P24" s="224"/>
    </row>
    <row r="25" spans="1:16" s="59" customFormat="1" ht="20.100000000000001" customHeight="1" x14ac:dyDescent="0.2">
      <c r="A25" s="192" t="s">
        <v>83</v>
      </c>
      <c r="B25" s="192"/>
      <c r="C25" s="58">
        <f>VLOOKUP(Area_ChiroAcu_GroupSize_51199,List_RateTable_LG,26,FALSE)</f>
        <v>0</v>
      </c>
      <c r="D25" s="58">
        <f>VLOOKUP(Area_ChiroAcu_GroupSize_51199,List_RateTable_LG,30,FALSE)</f>
        <v>0</v>
      </c>
      <c r="E25" s="58">
        <f>VLOOKUP(Area_ChiroAcu_GroupSize_51199,List_RateTable_LG,34,FALSE)</f>
        <v>0</v>
      </c>
      <c r="F25" s="58">
        <f>VLOOKUP(Area_ChiroAcu_GroupSize_51199,List_RateTable_LG,38,FALSE)</f>
        <v>0</v>
      </c>
      <c r="G25" s="58">
        <f>VLOOKUP(Area_ChiroAcu_GroupSize_51199,List_RateTable_LG,42,FALSE)</f>
        <v>0</v>
      </c>
      <c r="H25" s="58">
        <f>VLOOKUP(Area_ChiroAcu_GroupSize_51199,List_RateTable_LG,46,FALSE)</f>
        <v>0</v>
      </c>
      <c r="P25" s="61"/>
    </row>
    <row r="26" spans="1:16" s="59" customFormat="1" ht="20.100000000000001" customHeight="1" x14ac:dyDescent="0.2">
      <c r="A26" s="192" t="s">
        <v>84</v>
      </c>
      <c r="B26" s="192"/>
      <c r="C26" s="60">
        <f>VLOOKUP(Area_ChiroAcu_GroupSize_51199,List_RateTable_LG,27,FALSE)</f>
        <v>0</v>
      </c>
      <c r="D26" s="60">
        <f>VLOOKUP(Area_ChiroAcu_GroupSize_51199,List_RateTable_LG,31,FALSE)</f>
        <v>0</v>
      </c>
      <c r="E26" s="60">
        <f>VLOOKUP(Area_ChiroAcu_GroupSize_51199,List_RateTable_LG,35,FALSE)</f>
        <v>0</v>
      </c>
      <c r="F26" s="60">
        <f>VLOOKUP(Area_ChiroAcu_GroupSize_51199,List_RateTable_LG,39,FALSE)</f>
        <v>0</v>
      </c>
      <c r="G26" s="60">
        <f>VLOOKUP(Area_ChiroAcu_GroupSize_51199,List_RateTable_LG,43,FALSE)</f>
        <v>0</v>
      </c>
      <c r="H26" s="60">
        <f>VLOOKUP(Area_ChiroAcu_GroupSize_51199,List_RateTable_LG,47,FALSE)</f>
        <v>0</v>
      </c>
      <c r="P26" s="62"/>
    </row>
    <row r="27" spans="1:16" s="59" customFormat="1" ht="19.5" customHeight="1" x14ac:dyDescent="0.2">
      <c r="A27" s="192" t="s">
        <v>85</v>
      </c>
      <c r="B27" s="192"/>
      <c r="C27" s="58">
        <f>VLOOKUP(Area_ChiroAcu_GroupSize_51199,List_RateTable_LG,28,FALSE)</f>
        <v>0</v>
      </c>
      <c r="D27" s="58">
        <f>VLOOKUP(Area_ChiroAcu_GroupSize_51199,List_RateTable_LG,32,FALSE)</f>
        <v>0</v>
      </c>
      <c r="E27" s="58">
        <f>VLOOKUP(Area_ChiroAcu_GroupSize_51199,List_RateTable_LG,36,FALSE)</f>
        <v>0</v>
      </c>
      <c r="F27" s="58">
        <f>VLOOKUP(Area_ChiroAcu_GroupSize_51199,List_RateTable_LG,40,FALSE)</f>
        <v>0</v>
      </c>
      <c r="G27" s="58">
        <f>VLOOKUP(Area_ChiroAcu_GroupSize_51199,List_RateTable_LG,44,FALSE)</f>
        <v>0</v>
      </c>
      <c r="H27" s="58">
        <f>VLOOKUP(Area_ChiroAcu_GroupSize_51199,List_RateTable_LG,48,FALSE)</f>
        <v>0</v>
      </c>
      <c r="P27" s="62"/>
    </row>
    <row r="28" spans="1:16" s="47" customFormat="1" ht="19.5" customHeight="1" x14ac:dyDescent="0.2">
      <c r="A28" s="278" t="s">
        <v>86</v>
      </c>
      <c r="B28" s="278"/>
      <c r="C28" s="85">
        <f>VLOOKUP(Area_ChiroAcu_GroupSize_51199,List_RateTable_LG,29,FALSE)</f>
        <v>0</v>
      </c>
      <c r="D28" s="85">
        <f>VLOOKUP(Area_ChiroAcu_GroupSize_51199,List_RateTable_LG,33,FALSE)</f>
        <v>0</v>
      </c>
      <c r="E28" s="85">
        <f>VLOOKUP(Area_ChiroAcu_GroupSize_51199,List_RateTable_LG,37,FALSE)</f>
        <v>0</v>
      </c>
      <c r="F28" s="85">
        <f>VLOOKUP(Area_ChiroAcu_GroupSize_51199,List_RateTable_LG,41,FALSE)</f>
        <v>0</v>
      </c>
      <c r="G28" s="85">
        <f>VLOOKUP(Area_ChiroAcu_GroupSize_51199,List_RateTable_LG,45,FALSE)</f>
        <v>0</v>
      </c>
      <c r="H28" s="85">
        <f>VLOOKUP(Area_ChiroAcu_GroupSize_51199,List_RateTable_LG,49,FALSE)</f>
        <v>0</v>
      </c>
      <c r="P28" s="63"/>
    </row>
    <row r="29" spans="1:16" s="38" customFormat="1" ht="21.75" customHeight="1" x14ac:dyDescent="0.2">
      <c r="A29" s="254" t="s">
        <v>0</v>
      </c>
      <c r="B29" s="255"/>
      <c r="C29" s="118">
        <f t="shared" ref="C29:H29" si="1">SUM((C25*$K$6)+(C26*$K$7)+(C27*$K$8)+(C28*$K$9))</f>
        <v>0</v>
      </c>
      <c r="D29" s="118">
        <f t="shared" si="1"/>
        <v>0</v>
      </c>
      <c r="E29" s="118">
        <f t="shared" si="1"/>
        <v>0</v>
      </c>
      <c r="F29" s="118">
        <f t="shared" si="1"/>
        <v>0</v>
      </c>
      <c r="G29" s="118">
        <f t="shared" si="1"/>
        <v>0</v>
      </c>
      <c r="H29" s="119">
        <f t="shared" si="1"/>
        <v>0</v>
      </c>
    </row>
    <row r="30" spans="1:16" s="47" customFormat="1" ht="24" customHeight="1" x14ac:dyDescent="0.2">
      <c r="A30" s="86"/>
      <c r="B30" s="86"/>
      <c r="C30" s="86"/>
      <c r="D30" s="86"/>
      <c r="E30" s="87"/>
      <c r="F30" s="87"/>
      <c r="G30" s="87"/>
      <c r="H30" s="87"/>
      <c r="I30" s="87"/>
      <c r="J30" s="87"/>
      <c r="K30" s="87"/>
      <c r="L30" s="87"/>
      <c r="M30" s="87"/>
      <c r="N30" s="87"/>
      <c r="P30" s="224"/>
    </row>
    <row r="31" spans="1:16" s="47" customFormat="1" ht="25.5" customHeight="1" x14ac:dyDescent="0.2">
      <c r="A31" s="193" t="s">
        <v>2</v>
      </c>
      <c r="B31" s="194"/>
      <c r="C31" s="194"/>
      <c r="D31" s="194"/>
      <c r="E31" s="251"/>
      <c r="F31" s="277"/>
      <c r="G31" s="277"/>
      <c r="H31" s="277"/>
      <c r="I31" s="277"/>
      <c r="J31" s="277"/>
      <c r="K31" s="277"/>
      <c r="L31" s="277"/>
      <c r="M31" s="277"/>
      <c r="N31" s="277"/>
      <c r="P31" s="224"/>
    </row>
    <row r="32" spans="1:16" s="47" customFormat="1" ht="15.75" x14ac:dyDescent="0.2">
      <c r="A32" s="66"/>
      <c r="B32" s="66"/>
      <c r="C32" s="66"/>
      <c r="D32" s="66"/>
      <c r="E32" s="66"/>
      <c r="F32" s="66"/>
      <c r="G32" s="66"/>
      <c r="H32" s="66"/>
      <c r="I32" s="66"/>
      <c r="J32" s="66"/>
      <c r="K32" s="66"/>
      <c r="L32" s="66"/>
      <c r="M32" s="66"/>
      <c r="N32" s="66"/>
      <c r="P32" s="224"/>
    </row>
    <row r="33" spans="1:16" s="59" customFormat="1" ht="41.25" customHeight="1" x14ac:dyDescent="0.2">
      <c r="A33" s="197" t="s">
        <v>136</v>
      </c>
      <c r="B33" s="276"/>
      <c r="C33" s="276"/>
      <c r="D33" s="276"/>
      <c r="E33" s="276"/>
      <c r="F33" s="276"/>
      <c r="G33" s="276"/>
      <c r="H33" s="276"/>
      <c r="I33" s="276"/>
      <c r="J33" s="276"/>
      <c r="K33" s="276"/>
      <c r="L33" s="276"/>
      <c r="M33" s="276"/>
      <c r="N33" s="276"/>
      <c r="P33" s="61"/>
    </row>
    <row r="34" spans="1:16" s="59" customFormat="1" ht="23.25" customHeight="1" x14ac:dyDescent="0.2">
      <c r="A34" s="47"/>
      <c r="B34" s="47"/>
      <c r="C34" s="214" t="s">
        <v>39</v>
      </c>
      <c r="D34" s="253"/>
      <c r="E34" s="253"/>
      <c r="F34" s="253"/>
      <c r="G34" s="253"/>
      <c r="H34" s="215"/>
      <c r="I34" s="47"/>
      <c r="J34" s="47"/>
      <c r="K34" s="47"/>
      <c r="L34" s="47"/>
      <c r="M34" s="47"/>
      <c r="N34" s="47"/>
      <c r="P34" s="62"/>
    </row>
    <row r="35" spans="1:16" s="47" customFormat="1" ht="22.5" customHeight="1" x14ac:dyDescent="0.2">
      <c r="A35" s="220"/>
      <c r="B35" s="220"/>
      <c r="C35" s="128" t="s">
        <v>32</v>
      </c>
      <c r="D35" s="121" t="s">
        <v>33</v>
      </c>
      <c r="E35" s="120" t="s">
        <v>21</v>
      </c>
      <c r="F35" s="121" t="s">
        <v>34</v>
      </c>
      <c r="G35" s="120" t="s">
        <v>18</v>
      </c>
      <c r="H35" s="113" t="s">
        <v>35</v>
      </c>
      <c r="P35" s="63"/>
    </row>
    <row r="36" spans="1:16" s="88" customFormat="1" ht="37.5" customHeight="1" x14ac:dyDescent="0.2">
      <c r="A36" s="256" t="s">
        <v>73</v>
      </c>
      <c r="B36" s="192"/>
      <c r="C36" s="89">
        <v>10</v>
      </c>
      <c r="D36" s="89">
        <v>10</v>
      </c>
      <c r="E36" s="89">
        <v>15</v>
      </c>
      <c r="F36" s="89">
        <v>15</v>
      </c>
      <c r="G36" s="89">
        <v>20</v>
      </c>
      <c r="H36" s="89">
        <v>20</v>
      </c>
    </row>
    <row r="37" spans="1:16" s="64" customFormat="1" ht="37.5" customHeight="1" x14ac:dyDescent="0.2">
      <c r="A37" s="256" t="s">
        <v>74</v>
      </c>
      <c r="B37" s="256"/>
      <c r="C37" s="90">
        <v>20</v>
      </c>
      <c r="D37" s="90">
        <v>30</v>
      </c>
      <c r="E37" s="90">
        <v>20</v>
      </c>
      <c r="F37" s="90">
        <v>30</v>
      </c>
      <c r="G37" s="90">
        <v>20</v>
      </c>
      <c r="H37" s="90">
        <v>30</v>
      </c>
    </row>
    <row r="38" spans="1:16" s="67" customFormat="1" ht="48.75" customHeight="1" x14ac:dyDescent="0.2">
      <c r="A38" s="256" t="s">
        <v>75</v>
      </c>
      <c r="B38" s="192"/>
      <c r="C38" s="89">
        <v>10</v>
      </c>
      <c r="D38" s="89">
        <v>10</v>
      </c>
      <c r="E38" s="89">
        <v>15</v>
      </c>
      <c r="F38" s="89">
        <v>15</v>
      </c>
      <c r="G38" s="89">
        <v>20</v>
      </c>
      <c r="H38" s="89">
        <v>20</v>
      </c>
    </row>
    <row r="39" spans="1:16" s="67" customFormat="1" ht="38.25" customHeight="1" x14ac:dyDescent="0.2">
      <c r="A39" s="256" t="s">
        <v>134</v>
      </c>
      <c r="B39" s="192"/>
      <c r="C39" s="155">
        <v>50</v>
      </c>
      <c r="D39" s="155">
        <v>50</v>
      </c>
      <c r="E39" s="155">
        <v>50</v>
      </c>
      <c r="F39" s="155">
        <v>50</v>
      </c>
      <c r="G39" s="155">
        <v>50</v>
      </c>
      <c r="H39" s="155">
        <v>50</v>
      </c>
    </row>
    <row r="40" spans="1:16" s="67" customFormat="1" ht="38.25" customHeight="1" x14ac:dyDescent="0.2">
      <c r="A40" s="256" t="s">
        <v>137</v>
      </c>
      <c r="B40" s="192"/>
      <c r="C40" s="89">
        <v>75</v>
      </c>
      <c r="D40" s="89">
        <v>75</v>
      </c>
      <c r="E40" s="89">
        <v>75</v>
      </c>
      <c r="F40" s="89">
        <v>75</v>
      </c>
      <c r="G40" s="89">
        <v>75</v>
      </c>
      <c r="H40" s="89">
        <v>75</v>
      </c>
    </row>
    <row r="41" spans="1:16" s="67" customFormat="1" ht="12.75" customHeight="1" x14ac:dyDescent="0.2">
      <c r="A41" s="41"/>
      <c r="B41" s="41"/>
      <c r="C41" s="154"/>
      <c r="D41" s="154"/>
      <c r="E41" s="154"/>
      <c r="F41" s="154"/>
      <c r="G41" s="154"/>
      <c r="H41" s="154"/>
    </row>
    <row r="42" spans="1:16" s="69" customFormat="1" ht="40.5" customHeight="1" x14ac:dyDescent="0.2">
      <c r="A42" s="268" t="s">
        <v>138</v>
      </c>
      <c r="B42" s="269"/>
      <c r="C42" s="269"/>
      <c r="D42" s="269"/>
      <c r="E42" s="269"/>
      <c r="F42" s="41"/>
      <c r="G42" s="41"/>
      <c r="H42" s="41"/>
      <c r="I42" s="41"/>
      <c r="J42" s="41"/>
      <c r="K42" s="41"/>
      <c r="L42" s="41"/>
      <c r="M42" s="41"/>
      <c r="N42" s="41"/>
    </row>
    <row r="43" spans="1:16" s="47" customFormat="1" ht="24" customHeight="1" x14ac:dyDescent="0.2">
      <c r="C43" s="279" t="s">
        <v>58</v>
      </c>
      <c r="D43" s="279"/>
      <c r="E43" s="279"/>
      <c r="F43" s="279"/>
      <c r="G43" s="279"/>
      <c r="H43" s="279"/>
      <c r="I43" s="279" t="s">
        <v>59</v>
      </c>
      <c r="J43" s="279"/>
      <c r="K43" s="279"/>
      <c r="L43" s="279"/>
      <c r="M43" s="279"/>
      <c r="N43" s="279"/>
      <c r="P43" s="63"/>
    </row>
    <row r="44" spans="1:16" s="68" customFormat="1" ht="97.5" customHeight="1" x14ac:dyDescent="0.2">
      <c r="A44" s="266" t="s">
        <v>132</v>
      </c>
      <c r="B44" s="267"/>
      <c r="C44" s="257" t="s">
        <v>89</v>
      </c>
      <c r="D44" s="258"/>
      <c r="E44" s="258"/>
      <c r="F44" s="258"/>
      <c r="G44" s="258"/>
      <c r="H44" s="259"/>
      <c r="I44" s="257" t="s">
        <v>90</v>
      </c>
      <c r="J44" s="258"/>
      <c r="K44" s="258"/>
      <c r="L44" s="258"/>
      <c r="M44" s="258"/>
      <c r="N44" s="259"/>
    </row>
    <row r="45" spans="1:16" s="47" customFormat="1" ht="111.75" customHeight="1" x14ac:dyDescent="0.2">
      <c r="A45" s="266" t="s">
        <v>77</v>
      </c>
      <c r="B45" s="267"/>
      <c r="C45" s="263" t="s">
        <v>87</v>
      </c>
      <c r="D45" s="264"/>
      <c r="E45" s="264"/>
      <c r="F45" s="264"/>
      <c r="G45" s="264"/>
      <c r="H45" s="265"/>
      <c r="I45" s="260" t="s">
        <v>91</v>
      </c>
      <c r="J45" s="261"/>
      <c r="K45" s="261"/>
      <c r="L45" s="261"/>
      <c r="M45" s="261"/>
      <c r="N45" s="262"/>
      <c r="P45" s="63"/>
    </row>
    <row r="46" spans="1:16" s="59" customFormat="1" ht="36.75" customHeight="1" x14ac:dyDescent="0.2">
      <c r="A46" s="201"/>
      <c r="B46" s="202"/>
      <c r="C46" s="203"/>
      <c r="D46" s="203"/>
      <c r="E46" s="203"/>
      <c r="F46" s="203"/>
      <c r="G46" s="203"/>
      <c r="H46" s="203"/>
      <c r="I46" s="203"/>
      <c r="J46" s="203"/>
      <c r="K46" s="203"/>
      <c r="L46" s="203"/>
      <c r="M46" s="203"/>
      <c r="N46" s="203"/>
    </row>
    <row r="47" spans="1:16" s="59" customFormat="1" ht="33" customHeight="1" x14ac:dyDescent="0.2">
      <c r="A47" s="204" t="s">
        <v>4</v>
      </c>
      <c r="B47" s="205"/>
      <c r="C47" s="205"/>
      <c r="D47" s="205"/>
      <c r="E47" s="123"/>
      <c r="F47" s="111"/>
      <c r="G47" s="111"/>
      <c r="H47" s="111"/>
      <c r="I47" s="111"/>
      <c r="J47" s="111"/>
      <c r="K47" s="110"/>
      <c r="L47" s="110"/>
      <c r="M47" s="110"/>
      <c r="N47" s="110"/>
      <c r="P47" s="63"/>
    </row>
    <row r="48" spans="1:16" s="59" customFormat="1" ht="19.5" customHeight="1" x14ac:dyDescent="0.2">
      <c r="A48" s="270"/>
      <c r="B48" s="271"/>
      <c r="C48" s="271"/>
      <c r="D48" s="271"/>
      <c r="E48" s="271"/>
      <c r="F48" s="271"/>
      <c r="G48" s="271"/>
      <c r="H48" s="271"/>
      <c r="I48" s="271"/>
      <c r="J48" s="271"/>
      <c r="K48" s="272"/>
      <c r="L48" s="272"/>
      <c r="M48" s="272"/>
      <c r="N48" s="272"/>
      <c r="P48" s="71"/>
    </row>
    <row r="49" spans="1:16" s="39" customFormat="1" ht="36.75" customHeight="1" x14ac:dyDescent="0.3">
      <c r="A49" s="206" t="s">
        <v>72</v>
      </c>
      <c r="B49" s="207"/>
      <c r="C49" s="207"/>
      <c r="D49" s="207"/>
      <c r="E49" s="208"/>
      <c r="F49" s="273"/>
      <c r="G49" s="209"/>
      <c r="H49" s="210" t="s">
        <v>71</v>
      </c>
      <c r="I49" s="274"/>
      <c r="J49" s="274"/>
      <c r="K49" s="274"/>
      <c r="L49" s="274"/>
      <c r="M49" s="274"/>
      <c r="N49" s="274"/>
      <c r="P49" s="40"/>
    </row>
    <row r="50" spans="1:16" s="68" customFormat="1" ht="36" customHeight="1" x14ac:dyDescent="0.2">
      <c r="A50" s="189" t="s">
        <v>131</v>
      </c>
      <c r="B50" s="189"/>
      <c r="C50" s="189"/>
      <c r="D50" s="189"/>
      <c r="E50" s="189"/>
      <c r="F50" s="189"/>
      <c r="G50" s="189"/>
      <c r="H50" s="189"/>
      <c r="I50" s="189"/>
      <c r="J50" s="189"/>
      <c r="K50" s="189"/>
      <c r="L50" s="189"/>
      <c r="M50" s="189"/>
      <c r="N50" s="189"/>
    </row>
    <row r="51" spans="1:16" s="59" customFormat="1" ht="139.5" customHeight="1" x14ac:dyDescent="0.35">
      <c r="A51" s="42"/>
      <c r="B51" s="42"/>
      <c r="C51" s="42"/>
      <c r="D51" s="42"/>
      <c r="E51" s="42"/>
      <c r="F51" s="42"/>
      <c r="G51" s="42"/>
      <c r="H51" s="42"/>
      <c r="I51" s="42"/>
      <c r="J51" s="42"/>
      <c r="K51" s="42"/>
      <c r="L51" s="42"/>
      <c r="M51" s="190"/>
      <c r="N51" s="190"/>
    </row>
    <row r="52" spans="1:16" s="59" customFormat="1" ht="150" customHeight="1" x14ac:dyDescent="0.35">
      <c r="A52" s="42"/>
      <c r="B52" s="42"/>
      <c r="C52" s="42"/>
      <c r="D52" s="42"/>
      <c r="E52" s="42"/>
      <c r="F52" s="42"/>
      <c r="G52" s="42"/>
      <c r="H52" s="42"/>
      <c r="I52" s="42"/>
      <c r="J52" s="42"/>
      <c r="K52" s="42"/>
      <c r="L52" s="42"/>
      <c r="M52" s="190"/>
      <c r="N52" s="190"/>
    </row>
    <row r="53" spans="1:16" s="59" customFormat="1" ht="129.75" customHeight="1" x14ac:dyDescent="0.35">
      <c r="A53" s="42"/>
      <c r="B53" s="42"/>
      <c r="C53" s="42"/>
      <c r="D53" s="42"/>
      <c r="E53" s="42"/>
      <c r="F53" s="42"/>
      <c r="G53" s="42"/>
      <c r="H53" s="42"/>
      <c r="I53" s="42"/>
      <c r="J53" s="42"/>
      <c r="K53" s="42"/>
      <c r="L53" s="42"/>
      <c r="M53" s="190"/>
      <c r="N53" s="190"/>
    </row>
    <row r="54" spans="1:16" s="50" customFormat="1" ht="7.5" customHeight="1" x14ac:dyDescent="0.35">
      <c r="A54" s="42"/>
      <c r="B54" s="42"/>
      <c r="C54" s="42"/>
      <c r="D54" s="42"/>
      <c r="E54" s="42"/>
      <c r="F54" s="42"/>
      <c r="G54" s="42"/>
      <c r="H54" s="42"/>
      <c r="I54" s="42"/>
      <c r="J54" s="42"/>
      <c r="K54" s="42"/>
      <c r="L54" s="42"/>
      <c r="M54" s="190"/>
      <c r="N54" s="190"/>
      <c r="P54" s="72"/>
    </row>
    <row r="55" spans="1:16" s="73" customFormat="1" ht="27" customHeight="1" x14ac:dyDescent="0.35">
      <c r="A55" s="42"/>
      <c r="B55" s="42"/>
      <c r="C55" s="42"/>
      <c r="D55" s="42"/>
      <c r="E55" s="42"/>
      <c r="F55" s="42"/>
      <c r="G55" s="42"/>
      <c r="H55" s="42"/>
      <c r="I55" s="42"/>
      <c r="J55" s="42"/>
      <c r="K55" s="42"/>
      <c r="L55" s="42"/>
      <c r="M55" s="190"/>
      <c r="N55" s="190"/>
    </row>
    <row r="56" spans="1:16" s="74" customFormat="1" ht="9.75" customHeight="1" x14ac:dyDescent="0.35">
      <c r="A56" s="42"/>
      <c r="B56" s="42"/>
      <c r="C56" s="42"/>
      <c r="D56" s="42"/>
      <c r="E56" s="42"/>
      <c r="F56" s="42"/>
      <c r="G56" s="42"/>
      <c r="H56" s="42"/>
      <c r="I56" s="42"/>
      <c r="J56" s="42"/>
      <c r="K56" s="42"/>
      <c r="L56" s="42"/>
      <c r="M56" s="190"/>
      <c r="N56" s="190"/>
    </row>
    <row r="57" spans="1:16" s="73" customFormat="1" ht="36" customHeight="1" x14ac:dyDescent="0.35">
      <c r="A57" s="42"/>
      <c r="B57" s="42"/>
      <c r="C57" s="42"/>
      <c r="D57" s="42"/>
      <c r="E57" s="42"/>
      <c r="F57" s="42"/>
      <c r="G57" s="42"/>
      <c r="H57" s="42"/>
      <c r="I57" s="42"/>
      <c r="J57" s="42"/>
      <c r="K57" s="42"/>
      <c r="L57" s="42"/>
      <c r="M57" s="190"/>
      <c r="N57" s="190"/>
    </row>
    <row r="58" spans="1:16" s="47" customFormat="1" ht="33" customHeight="1" x14ac:dyDescent="0.35">
      <c r="A58" s="42"/>
      <c r="B58" s="42"/>
      <c r="C58" s="42"/>
      <c r="D58" s="42"/>
      <c r="E58" s="42"/>
      <c r="F58" s="42"/>
      <c r="G58" s="42"/>
      <c r="H58" s="42"/>
      <c r="I58" s="42"/>
      <c r="J58" s="42"/>
      <c r="K58" s="42"/>
      <c r="L58" s="42"/>
      <c r="M58" s="42"/>
      <c r="N58" s="42"/>
      <c r="P58" s="63"/>
    </row>
    <row r="64" spans="1:16" x14ac:dyDescent="0.35">
      <c r="P64" s="42"/>
    </row>
    <row r="65" spans="16:16" x14ac:dyDescent="0.35">
      <c r="P65" s="42"/>
    </row>
  </sheetData>
  <sheetProtection algorithmName="SHA-512" hashValue="BaYVGV+gYhE8d2Uo+JI1Uez1YrjypSLPwi/6K6IQTVXubmgAm61XAWMJJrbo4arAp2HIePvtfOelb5zv5QhP/A==" saltValue="tF5pSyudAVdHVzWe0WPr1w==" spinCount="100000" sheet="1" objects="1" scenarios="1" selectLockedCells="1"/>
  <mergeCells count="75">
    <mergeCell ref="A1:N1"/>
    <mergeCell ref="A11:D11"/>
    <mergeCell ref="A44:B44"/>
    <mergeCell ref="A26:B26"/>
    <mergeCell ref="A33:N33"/>
    <mergeCell ref="E31:N31"/>
    <mergeCell ref="A31:D31"/>
    <mergeCell ref="A28:B28"/>
    <mergeCell ref="A29:B29"/>
    <mergeCell ref="I43:N43"/>
    <mergeCell ref="C43:H43"/>
    <mergeCell ref="A16:B16"/>
    <mergeCell ref="A17:B17"/>
    <mergeCell ref="A18:B18"/>
    <mergeCell ref="E21:F21"/>
    <mergeCell ref="G21:H21"/>
    <mergeCell ref="M21:N21"/>
    <mergeCell ref="A40:B40"/>
    <mergeCell ref="A42:E42"/>
    <mergeCell ref="M56:N56"/>
    <mergeCell ref="M57:N57"/>
    <mergeCell ref="A50:N50"/>
    <mergeCell ref="M51:N51"/>
    <mergeCell ref="M52:N52"/>
    <mergeCell ref="M53:N53"/>
    <mergeCell ref="M54:N54"/>
    <mergeCell ref="M55:N55"/>
    <mergeCell ref="A46:N46"/>
    <mergeCell ref="A47:D47"/>
    <mergeCell ref="A48:N48"/>
    <mergeCell ref="A49:G49"/>
    <mergeCell ref="H49:N49"/>
    <mergeCell ref="I44:N44"/>
    <mergeCell ref="I45:N45"/>
    <mergeCell ref="C44:H44"/>
    <mergeCell ref="C45:H45"/>
    <mergeCell ref="A38:B38"/>
    <mergeCell ref="A39:B39"/>
    <mergeCell ref="A45:B45"/>
    <mergeCell ref="A15:B15"/>
    <mergeCell ref="A35:B35"/>
    <mergeCell ref="A20:B20"/>
    <mergeCell ref="A36:B36"/>
    <mergeCell ref="A37:B37"/>
    <mergeCell ref="A24:B24"/>
    <mergeCell ref="A25:B25"/>
    <mergeCell ref="A27:B27"/>
    <mergeCell ref="A19:B19"/>
    <mergeCell ref="A21:D21"/>
    <mergeCell ref="C23:H23"/>
    <mergeCell ref="C34:H34"/>
    <mergeCell ref="A10:N10"/>
    <mergeCell ref="B6:D6"/>
    <mergeCell ref="B7:D7"/>
    <mergeCell ref="C14:H14"/>
    <mergeCell ref="G8:J8"/>
    <mergeCell ref="G9:J9"/>
    <mergeCell ref="E11:N11"/>
    <mergeCell ref="C13:H13"/>
    <mergeCell ref="P30:P32"/>
    <mergeCell ref="P22:P24"/>
    <mergeCell ref="A2:N2"/>
    <mergeCell ref="B4:N4"/>
    <mergeCell ref="K7:L7"/>
    <mergeCell ref="K8:L8"/>
    <mergeCell ref="K9:L9"/>
    <mergeCell ref="G6:J6"/>
    <mergeCell ref="G7:J7"/>
    <mergeCell ref="E3:N3"/>
    <mergeCell ref="A3:D3"/>
    <mergeCell ref="B8:C8"/>
    <mergeCell ref="B9:C9"/>
    <mergeCell ref="K6:L6"/>
    <mergeCell ref="P13:P16"/>
    <mergeCell ref="O6:O9"/>
  </mergeCells>
  <conditionalFormatting sqref="O4">
    <cfRule type="expression" dxfId="23" priority="28" stopIfTrue="1">
      <formula>$M$9=0</formula>
    </cfRule>
    <cfRule type="cellIs" dxfId="22" priority="29" stopIfTrue="1" operator="equal">
      <formula>0</formula>
    </cfRule>
  </conditionalFormatting>
  <conditionalFormatting sqref="O6:O9">
    <cfRule type="expression" dxfId="21" priority="30" stopIfTrue="1">
      <formula>$M$9=0</formula>
    </cfRule>
    <cfRule type="expression" dxfId="20" priority="31" stopIfTrue="1">
      <formula>$M$9&lt;51</formula>
    </cfRule>
  </conditionalFormatting>
  <conditionalFormatting sqref="C16:H16 C18:H18 C25:H25 C27:H27">
    <cfRule type="expression" dxfId="19" priority="32" stopIfTrue="1">
      <formula>$M$9&lt;51</formula>
    </cfRule>
    <cfRule type="expression" dxfId="18" priority="33" stopIfTrue="1">
      <formula>$M$9=0</formula>
    </cfRule>
    <cfRule type="expression" dxfId="17" priority="34" stopIfTrue="1">
      <formula>$M$9=0</formula>
    </cfRule>
    <cfRule type="expression" dxfId="16" priority="35" stopIfTrue="1">
      <formula>$M$9&lt;51</formula>
    </cfRule>
  </conditionalFormatting>
  <conditionalFormatting sqref="C17:H17 C19:H19 C26:H26 C28:H28">
    <cfRule type="expression" dxfId="15" priority="3">
      <formula>$M$9&lt;51</formula>
    </cfRule>
    <cfRule type="expression" dxfId="14" priority="4">
      <formula>$M$9=0</formula>
    </cfRule>
  </conditionalFormatting>
  <conditionalFormatting sqref="C20:H20 C29:H29">
    <cfRule type="expression" dxfId="13" priority="1">
      <formula>$M$9&lt;51</formula>
    </cfRule>
    <cfRule type="expression" dxfId="12" priority="2">
      <formula>$M$9=0</formula>
    </cfRule>
  </conditionalFormatting>
  <dataValidations disablePrompts="1" count="3">
    <dataValidation type="list" allowBlank="1" sqref="B6:C6" xr:uid="{00000000-0002-0000-0200-000000000000}">
      <formula1>List_EffDate</formula1>
    </dataValidation>
    <dataValidation type="list" allowBlank="1" sqref="B7:C7" xr:uid="{00000000-0002-0000-0200-000001000000}">
      <formula1>List_Area</formula1>
    </dataValidation>
    <dataValidation allowBlank="1" sqref="A5:A10 B8:C10 D10:N10 G6:G9 K6:K9 D8:D9 M5:N9 B5:L5" xr:uid="{00000000-0002-0000-0200-000002000000}"/>
  </dataValidations>
  <printOptions horizontalCentered="1"/>
  <pageMargins left="0.4" right="0.4" top="0.5" bottom="0.4" header="0.3" footer="0.3"/>
  <pageSetup scale="53" fitToHeight="2" orientation="landscape" horizontalDpi="1200" verticalDpi="1200" r:id="rId1"/>
  <headerFooter>
    <oddFooter>&amp;L&amp;D&amp;RCPS-006  05/22</oddFooter>
  </headerFooter>
  <rowBreaks count="1" manualBreakCount="1">
    <brk id="30"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799B-7203-49E8-A933-6427C20A7813}">
  <dimension ref="A1:P62"/>
  <sheetViews>
    <sheetView showGridLines="0" zoomScaleNormal="100" zoomScaleSheetLayoutView="98" workbookViewId="0">
      <selection activeCell="B4" sqref="B4:N4"/>
    </sheetView>
  </sheetViews>
  <sheetFormatPr defaultColWidth="9.140625" defaultRowHeight="18" x14ac:dyDescent="0.35"/>
  <cols>
    <col min="1" max="1" width="18.5703125" style="133" customWidth="1"/>
    <col min="2" max="2" width="22.28515625" style="133" customWidth="1"/>
    <col min="3" max="3" width="13.42578125" style="133" customWidth="1"/>
    <col min="4" max="4" width="14.42578125" style="133" customWidth="1"/>
    <col min="5" max="14" width="13.42578125" style="133" customWidth="1"/>
    <col min="15" max="15" width="42.7109375" style="133" customWidth="1"/>
    <col min="16" max="16" width="13" style="25" customWidth="1"/>
    <col min="17" max="16384" width="9.140625" style="133"/>
  </cols>
  <sheetData>
    <row r="1" spans="1:16" ht="70.5" customHeight="1" x14ac:dyDescent="0.35">
      <c r="A1" s="222"/>
      <c r="B1" s="223"/>
      <c r="C1" s="223"/>
      <c r="D1" s="223"/>
      <c r="E1" s="223"/>
      <c r="F1" s="223"/>
      <c r="G1" s="223"/>
      <c r="H1" s="223"/>
      <c r="I1" s="223"/>
      <c r="J1" s="223"/>
      <c r="K1" s="223"/>
      <c r="L1" s="223"/>
      <c r="M1" s="223"/>
      <c r="N1" s="223"/>
    </row>
    <row r="2" spans="1:16" s="131" customFormat="1" ht="26.25" customHeight="1" x14ac:dyDescent="0.35">
      <c r="A2" s="225" t="s">
        <v>112</v>
      </c>
      <c r="B2" s="225"/>
      <c r="C2" s="225"/>
      <c r="D2" s="225"/>
      <c r="E2" s="225"/>
      <c r="F2" s="225"/>
      <c r="G2" s="225"/>
      <c r="H2" s="225"/>
      <c r="I2" s="225"/>
      <c r="J2" s="225"/>
      <c r="K2" s="225"/>
      <c r="L2" s="225"/>
      <c r="M2" s="225"/>
      <c r="N2" s="225"/>
      <c r="P2" s="27"/>
    </row>
    <row r="3" spans="1:16" s="28" customFormat="1" ht="27" customHeight="1" x14ac:dyDescent="0.2">
      <c r="A3" s="193" t="s">
        <v>1</v>
      </c>
      <c r="B3" s="240"/>
      <c r="C3" s="240"/>
      <c r="D3" s="240"/>
      <c r="E3" s="238"/>
      <c r="F3" s="239"/>
      <c r="G3" s="239"/>
      <c r="H3" s="239"/>
      <c r="I3" s="239"/>
      <c r="J3" s="239"/>
      <c r="K3" s="239"/>
      <c r="L3" s="239"/>
      <c r="M3" s="239"/>
      <c r="N3" s="239"/>
      <c r="P3" s="29"/>
    </row>
    <row r="4" spans="1:16" s="47" customFormat="1" ht="36.950000000000003" customHeight="1" x14ac:dyDescent="0.25">
      <c r="A4" s="53" t="s">
        <v>5</v>
      </c>
      <c r="B4" s="235"/>
      <c r="C4" s="235"/>
      <c r="D4" s="235"/>
      <c r="E4" s="235"/>
      <c r="F4" s="235"/>
      <c r="G4" s="235"/>
      <c r="H4" s="235"/>
      <c r="I4" s="235"/>
      <c r="J4" s="235"/>
      <c r="K4" s="235"/>
      <c r="L4" s="235"/>
      <c r="M4" s="235"/>
      <c r="N4" s="235"/>
      <c r="O4" s="75"/>
      <c r="P4" s="76"/>
    </row>
    <row r="5" spans="1:16" s="47" customFormat="1" ht="11.25" customHeight="1" x14ac:dyDescent="0.2">
      <c r="A5" s="53"/>
      <c r="B5" s="51"/>
      <c r="C5" s="51"/>
      <c r="D5" s="51"/>
      <c r="E5" s="51"/>
      <c r="F5" s="51"/>
      <c r="G5" s="52"/>
      <c r="H5" s="52"/>
      <c r="I5" s="52"/>
      <c r="J5" s="52"/>
      <c r="K5" s="52"/>
      <c r="L5" s="52"/>
      <c r="M5" s="52"/>
      <c r="N5" s="52"/>
      <c r="P5" s="63"/>
    </row>
    <row r="6" spans="1:16" s="47" customFormat="1" ht="18" customHeight="1" x14ac:dyDescent="0.25">
      <c r="A6" s="55" t="s">
        <v>9</v>
      </c>
      <c r="B6" s="245" t="s">
        <v>11</v>
      </c>
      <c r="C6" s="245"/>
      <c r="D6" s="245"/>
      <c r="K6" s="302" t="s">
        <v>124</v>
      </c>
      <c r="L6" s="303"/>
      <c r="M6" s="280" t="s">
        <v>125</v>
      </c>
      <c r="N6" s="281"/>
      <c r="O6" s="300" t="str">
        <f>IF(K13=1,"Voluntary chiropractic plans require 2 minimum employees enrolled.","")</f>
        <v/>
      </c>
      <c r="P6" s="63"/>
    </row>
    <row r="7" spans="1:16" s="77" customFormat="1" ht="18" customHeight="1" x14ac:dyDescent="0.25">
      <c r="A7" s="55" t="s">
        <v>7</v>
      </c>
      <c r="B7" s="246" t="s">
        <v>12</v>
      </c>
      <c r="C7" s="246"/>
      <c r="D7" s="246"/>
      <c r="E7" s="47"/>
      <c r="F7" s="47"/>
      <c r="G7" s="304" t="s">
        <v>78</v>
      </c>
      <c r="H7" s="304"/>
      <c r="I7" s="304"/>
      <c r="J7" s="304"/>
      <c r="K7" s="242">
        <v>0</v>
      </c>
      <c r="L7" s="242"/>
      <c r="M7" s="242">
        <v>0</v>
      </c>
      <c r="N7" s="242"/>
      <c r="O7" s="300"/>
      <c r="P7" s="63"/>
    </row>
    <row r="8" spans="1:16" s="77" customFormat="1" ht="18" customHeight="1" x14ac:dyDescent="0.25">
      <c r="A8" s="54"/>
      <c r="B8" s="241"/>
      <c r="C8" s="241"/>
      <c r="D8" s="47"/>
      <c r="E8" s="47"/>
      <c r="F8" s="47"/>
      <c r="G8" s="304" t="s">
        <v>121</v>
      </c>
      <c r="H8" s="304"/>
      <c r="I8" s="304"/>
      <c r="J8" s="304"/>
      <c r="K8" s="236">
        <v>0</v>
      </c>
      <c r="L8" s="236"/>
      <c r="M8" s="236">
        <v>0</v>
      </c>
      <c r="N8" s="236"/>
      <c r="O8" s="300"/>
      <c r="P8" s="78"/>
    </row>
    <row r="9" spans="1:16" s="47" customFormat="1" ht="18" customHeight="1" x14ac:dyDescent="0.25">
      <c r="A9" s="54"/>
      <c r="B9" s="241"/>
      <c r="C9" s="241"/>
      <c r="G9" s="285" t="s">
        <v>81</v>
      </c>
      <c r="H9" s="285"/>
      <c r="I9" s="285"/>
      <c r="J9" s="285"/>
      <c r="K9" s="236">
        <v>0</v>
      </c>
      <c r="L9" s="236"/>
      <c r="M9" s="236">
        <v>0</v>
      </c>
      <c r="N9" s="236"/>
      <c r="O9" s="300" t="str">
        <f>IF(M13=1,"Voluntary acupuncture plans require 2 minimum employees enrolled.","")</f>
        <v/>
      </c>
      <c r="P9" s="63"/>
    </row>
    <row r="10" spans="1:16" s="31" customFormat="1" ht="10.5" customHeight="1" x14ac:dyDescent="0.2">
      <c r="A10" s="244"/>
      <c r="B10" s="244"/>
      <c r="C10" s="244"/>
      <c r="D10" s="244"/>
      <c r="E10" s="244"/>
      <c r="F10" s="244"/>
      <c r="G10" s="244"/>
      <c r="H10" s="244"/>
      <c r="I10" s="244"/>
      <c r="J10" s="244"/>
      <c r="K10" s="244"/>
      <c r="L10" s="244"/>
      <c r="M10" s="244"/>
      <c r="N10" s="244"/>
      <c r="O10" s="300"/>
    </row>
    <row r="11" spans="1:16" s="64" customFormat="1" ht="27" customHeight="1" x14ac:dyDescent="0.2">
      <c r="A11" s="275" t="s">
        <v>3</v>
      </c>
      <c r="B11" s="252"/>
      <c r="C11" s="252"/>
      <c r="D11" s="252"/>
      <c r="E11" s="251"/>
      <c r="F11" s="252"/>
      <c r="G11" s="252"/>
      <c r="H11" s="252"/>
      <c r="I11" s="252"/>
      <c r="J11" s="252"/>
      <c r="K11" s="252"/>
      <c r="L11" s="252"/>
      <c r="M11" s="252"/>
      <c r="N11" s="252"/>
      <c r="O11" s="300"/>
      <c r="P11" s="76"/>
    </row>
    <row r="12" spans="1:16" s="67" customFormat="1" ht="20.25" customHeight="1" x14ac:dyDescent="0.2">
      <c r="A12" s="83"/>
      <c r="B12" s="83"/>
      <c r="C12" s="66"/>
      <c r="D12" s="66"/>
      <c r="E12" s="66"/>
      <c r="F12" s="66"/>
      <c r="G12" s="66"/>
      <c r="H12" s="66"/>
      <c r="I12" s="66"/>
      <c r="J12" s="66"/>
      <c r="K12" s="66"/>
      <c r="L12" s="66"/>
      <c r="M12" s="66"/>
      <c r="N12" s="66"/>
      <c r="P12" s="84"/>
    </row>
    <row r="13" spans="1:16" s="47" customFormat="1" ht="24" customHeight="1" x14ac:dyDescent="0.2">
      <c r="A13" s="56" t="str">
        <f>IF(K13&lt;2,"ChiroSelect your Region",CONCATENATE("Chiro",$B$7))</f>
        <v>ChiroSelect your Region</v>
      </c>
      <c r="B13" s="63"/>
      <c r="C13" s="282" t="s">
        <v>122</v>
      </c>
      <c r="D13" s="283"/>
      <c r="E13" s="284"/>
      <c r="F13" s="129"/>
      <c r="G13" s="129"/>
      <c r="H13" s="129"/>
      <c r="K13" s="48">
        <f>SUM(K7:K9)</f>
        <v>0</v>
      </c>
      <c r="M13" s="48">
        <f>SUM(M7:M9)</f>
        <v>0</v>
      </c>
      <c r="P13" s="224"/>
    </row>
    <row r="14" spans="1:16" s="47" customFormat="1" x14ac:dyDescent="0.2">
      <c r="A14" s="220"/>
      <c r="B14" s="220"/>
      <c r="C14" s="139" t="s">
        <v>93</v>
      </c>
      <c r="D14" s="140" t="s">
        <v>94</v>
      </c>
      <c r="E14" s="141" t="s">
        <v>95</v>
      </c>
      <c r="F14" s="129"/>
      <c r="G14" s="129"/>
      <c r="H14" s="129"/>
      <c r="P14" s="224"/>
    </row>
    <row r="15" spans="1:16" s="59" customFormat="1" ht="20.100000000000001" customHeight="1" x14ac:dyDescent="0.2">
      <c r="A15" s="192" t="s">
        <v>83</v>
      </c>
      <c r="B15" s="192"/>
      <c r="C15" s="138">
        <f>VLOOKUP(Area_Chiro_VOL,List_RateTable_VOL,10,FALSE)</f>
        <v>0</v>
      </c>
      <c r="D15" s="138">
        <f>VLOOKUP(Area_Chiro_VOL,List_RateTable_VOL,13,FALSE)</f>
        <v>0</v>
      </c>
      <c r="E15" s="138">
        <f>VLOOKUP(Area_Chiro_VOL,List_RateTable_VOL,16,FALSE)</f>
        <v>0</v>
      </c>
      <c r="F15" s="129"/>
      <c r="G15" s="129"/>
      <c r="H15" s="129"/>
      <c r="P15" s="224"/>
    </row>
    <row r="16" spans="1:16" s="59" customFormat="1" ht="20.100000000000001" customHeight="1" x14ac:dyDescent="0.2">
      <c r="A16" s="192" t="s">
        <v>120</v>
      </c>
      <c r="B16" s="192"/>
      <c r="C16" s="60">
        <f>VLOOKUP(Area_Chiro_VOL,List_RateTable_VOL,11,FALSE)</f>
        <v>0</v>
      </c>
      <c r="D16" s="60">
        <f>VLOOKUP(Area_Chiro_VOL,List_RateTable_VOL,14,FALSE)</f>
        <v>0</v>
      </c>
      <c r="E16" s="60">
        <f>VLOOKUP(Area_Chiro_VOL,List_RateTable_VOL,17,FALSE)</f>
        <v>0</v>
      </c>
      <c r="F16" s="129"/>
      <c r="G16" s="129"/>
      <c r="H16" s="129"/>
      <c r="P16" s="132"/>
    </row>
    <row r="17" spans="1:16" s="59" customFormat="1" ht="20.100000000000001" customHeight="1" x14ac:dyDescent="0.2">
      <c r="A17" s="192" t="s">
        <v>86</v>
      </c>
      <c r="B17" s="192"/>
      <c r="C17" s="58">
        <f>VLOOKUP(Area_Chiro_VOL,List_RateTable_VOL,12,FALSE)</f>
        <v>0</v>
      </c>
      <c r="D17" s="58">
        <f>VLOOKUP(Area_Chiro_VOL,List_RateTable_VOL,15,FALSE)</f>
        <v>0</v>
      </c>
      <c r="E17" s="58">
        <f>VLOOKUP(Area_Chiro_VOL,List_RateTable_VOL,18,FALSE)</f>
        <v>0</v>
      </c>
      <c r="F17" s="129"/>
      <c r="G17" s="129"/>
      <c r="H17" s="129"/>
      <c r="P17" s="62"/>
    </row>
    <row r="18" spans="1:16" s="47" customFormat="1" ht="22.5" customHeight="1" x14ac:dyDescent="0.2">
      <c r="A18" s="254" t="s">
        <v>0</v>
      </c>
      <c r="B18" s="255"/>
      <c r="C18" s="150">
        <f>SUM((C15*$K$7)+(C16*$K$8)+(C17*$K$9))</f>
        <v>0</v>
      </c>
      <c r="D18" s="150">
        <f>SUM((D15*$K$7)+(D16*$K$8)+(D17*$K$9))</f>
        <v>0</v>
      </c>
      <c r="E18" s="151">
        <f>SUM((E15*$K$7)+(E16*$K$8)+(E17*$K$9))</f>
        <v>0</v>
      </c>
      <c r="F18" s="129"/>
      <c r="G18" s="129"/>
      <c r="H18" s="129"/>
      <c r="P18" s="63"/>
    </row>
    <row r="19" spans="1:16" s="38" customFormat="1" ht="9.75" customHeight="1" x14ac:dyDescent="0.2">
      <c r="A19" s="152"/>
      <c r="B19" s="152"/>
      <c r="C19" s="152"/>
      <c r="D19" s="152"/>
      <c r="E19" s="191"/>
      <c r="F19" s="191"/>
      <c r="G19" s="191"/>
      <c r="H19" s="191"/>
      <c r="I19" s="129"/>
      <c r="J19" s="129"/>
      <c r="K19" s="129"/>
      <c r="L19" s="129"/>
      <c r="M19" s="191"/>
      <c r="N19" s="191"/>
    </row>
    <row r="20" spans="1:16" s="47" customFormat="1" ht="7.5" customHeight="1" x14ac:dyDescent="0.2">
      <c r="A20" s="130"/>
      <c r="B20" s="130"/>
      <c r="C20" s="130"/>
      <c r="D20" s="130"/>
      <c r="E20" s="129"/>
      <c r="F20" s="129"/>
      <c r="G20" s="129"/>
      <c r="H20" s="129"/>
      <c r="I20" s="129"/>
      <c r="J20" s="129"/>
      <c r="K20" s="129"/>
      <c r="L20" s="129"/>
      <c r="M20" s="129"/>
      <c r="N20" s="129"/>
      <c r="P20" s="224"/>
    </row>
    <row r="21" spans="1:16" s="47" customFormat="1" ht="21" customHeight="1" x14ac:dyDescent="0.2">
      <c r="A21" s="56" t="str">
        <f>IF(M13&lt;2,"AcuSelect your Region",CONCATENATE("Acu",$B$7))</f>
        <v>AcuSelect your Region</v>
      </c>
      <c r="B21" s="63"/>
      <c r="C21" s="282" t="s">
        <v>123</v>
      </c>
      <c r="D21" s="283"/>
      <c r="E21" s="284"/>
      <c r="F21" s="129"/>
      <c r="G21" s="129"/>
      <c r="H21" s="129"/>
      <c r="P21" s="224"/>
    </row>
    <row r="22" spans="1:16" s="59" customFormat="1" ht="20.100000000000001" customHeight="1" x14ac:dyDescent="0.2">
      <c r="A22" s="220"/>
      <c r="B22" s="220"/>
      <c r="C22" s="139" t="s">
        <v>96</v>
      </c>
      <c r="D22" s="140" t="s">
        <v>97</v>
      </c>
      <c r="E22" s="141" t="s">
        <v>98</v>
      </c>
      <c r="F22" s="129"/>
      <c r="G22" s="129"/>
      <c r="H22" s="129"/>
      <c r="P22" s="224"/>
    </row>
    <row r="23" spans="1:16" s="59" customFormat="1" ht="20.100000000000001" customHeight="1" x14ac:dyDescent="0.2">
      <c r="A23" s="192" t="s">
        <v>83</v>
      </c>
      <c r="B23" s="192"/>
      <c r="C23" s="138">
        <f>VLOOKUP(Area_Acu_VOL,List_RateTable_VOL,19,FALSE)</f>
        <v>0</v>
      </c>
      <c r="D23" s="138">
        <f>VLOOKUP(Area_Acu_VOL,List_RateTable_VOL,22,FALSE)</f>
        <v>0</v>
      </c>
      <c r="E23" s="138">
        <f>VLOOKUP(Area_Acu_VOL,List_RateTable_VOL,25,FALSE)</f>
        <v>0</v>
      </c>
      <c r="F23" s="129"/>
      <c r="G23" s="129"/>
      <c r="H23" s="129"/>
      <c r="P23" s="132"/>
    </row>
    <row r="24" spans="1:16" s="59" customFormat="1" ht="20.100000000000001" customHeight="1" x14ac:dyDescent="0.2">
      <c r="A24" s="192" t="s">
        <v>120</v>
      </c>
      <c r="B24" s="192"/>
      <c r="C24" s="60">
        <f>VLOOKUP(Area_Acu_VOL,List_RateTable_VOL,20,FALSE)</f>
        <v>0</v>
      </c>
      <c r="D24" s="60">
        <f>VLOOKUP(Area_Acu_VOL,List_RateTable_VOL,23,FALSE)</f>
        <v>0</v>
      </c>
      <c r="E24" s="60">
        <f>VLOOKUP(Area_Acu_VOL,List_RateTable_VOL,26,FALSE)</f>
        <v>0</v>
      </c>
      <c r="F24" s="129"/>
      <c r="G24" s="129"/>
      <c r="H24" s="129"/>
      <c r="P24" s="62"/>
    </row>
    <row r="25" spans="1:16" s="59" customFormat="1" ht="19.5" customHeight="1" x14ac:dyDescent="0.2">
      <c r="A25" s="192" t="s">
        <v>86</v>
      </c>
      <c r="B25" s="192"/>
      <c r="C25" s="58">
        <f>VLOOKUP(Area_Acu_VOL,List_RateTable_VOL,21,FALSE)</f>
        <v>0</v>
      </c>
      <c r="D25" s="58">
        <f>VLOOKUP(Area_Acu_VOL,List_RateTable_VOL,24,FALSE)</f>
        <v>0</v>
      </c>
      <c r="E25" s="58">
        <f>VLOOKUP(Area_Acu_VOL,List_RateTable_VOL,27,FALSE)</f>
        <v>0</v>
      </c>
      <c r="F25" s="129"/>
      <c r="G25" s="129"/>
      <c r="H25" s="129"/>
      <c r="P25" s="62"/>
    </row>
    <row r="26" spans="1:16" s="38" customFormat="1" ht="21.75" customHeight="1" x14ac:dyDescent="0.2">
      <c r="A26" s="254" t="s">
        <v>0</v>
      </c>
      <c r="B26" s="255"/>
      <c r="C26" s="150">
        <f>SUM((C23*$M$7)+(C24*$M$8)+(C25*$M$9))</f>
        <v>0</v>
      </c>
      <c r="D26" s="150">
        <f>SUM((D23*$M$7)+(D24*$M$8)+(D25*$M$9))</f>
        <v>0</v>
      </c>
      <c r="E26" s="151">
        <f>SUM((E23*$M$7)+(E24*$M$8)+(E25*$M$9))</f>
        <v>0</v>
      </c>
      <c r="F26" s="129"/>
      <c r="G26" s="129"/>
      <c r="H26" s="129"/>
    </row>
    <row r="27" spans="1:16" s="47" customFormat="1" ht="24" customHeight="1" x14ac:dyDescent="0.2">
      <c r="A27" s="86"/>
      <c r="B27" s="86"/>
      <c r="C27" s="86"/>
      <c r="D27" s="86"/>
      <c r="E27" s="87"/>
      <c r="F27" s="87"/>
      <c r="G27" s="87"/>
      <c r="H27" s="87"/>
      <c r="I27" s="87"/>
      <c r="J27" s="87"/>
      <c r="K27" s="87"/>
      <c r="L27" s="87"/>
      <c r="M27" s="87"/>
      <c r="N27" s="87"/>
      <c r="P27" s="224"/>
    </row>
    <row r="28" spans="1:16" s="47" customFormat="1" ht="28.5" customHeight="1" x14ac:dyDescent="0.2">
      <c r="A28" s="193" t="s">
        <v>2</v>
      </c>
      <c r="B28" s="194"/>
      <c r="C28" s="194"/>
      <c r="D28" s="194"/>
      <c r="E28" s="251"/>
      <c r="F28" s="277"/>
      <c r="G28" s="277"/>
      <c r="H28" s="277"/>
      <c r="I28" s="277"/>
      <c r="J28" s="277"/>
      <c r="K28" s="277"/>
      <c r="L28" s="277"/>
      <c r="M28" s="277"/>
      <c r="N28" s="277"/>
      <c r="P28" s="224"/>
    </row>
    <row r="29" spans="1:16" s="47" customFormat="1" ht="15.75" x14ac:dyDescent="0.2">
      <c r="A29" s="66"/>
      <c r="B29" s="66"/>
      <c r="C29" s="66"/>
      <c r="D29" s="66"/>
      <c r="E29" s="66"/>
      <c r="F29" s="66"/>
      <c r="G29" s="66"/>
      <c r="H29" s="66"/>
      <c r="I29" s="66"/>
      <c r="J29" s="66"/>
      <c r="K29" s="66"/>
      <c r="L29" s="66"/>
      <c r="M29" s="66"/>
      <c r="N29" s="66"/>
      <c r="P29" s="224"/>
    </row>
    <row r="30" spans="1:16" s="59" customFormat="1" ht="41.25" customHeight="1" x14ac:dyDescent="0.2">
      <c r="A30" s="197" t="s">
        <v>136</v>
      </c>
      <c r="B30" s="276"/>
      <c r="C30" s="276"/>
      <c r="D30" s="276"/>
      <c r="E30" s="276"/>
      <c r="F30" s="276"/>
      <c r="G30" s="276"/>
      <c r="H30" s="276"/>
      <c r="I30" s="276"/>
      <c r="J30" s="276"/>
      <c r="K30" s="276"/>
      <c r="L30" s="276"/>
      <c r="M30" s="276"/>
      <c r="N30" s="276"/>
      <c r="P30" s="132"/>
    </row>
    <row r="31" spans="1:16" s="59" customFormat="1" ht="23.25" customHeight="1" x14ac:dyDescent="0.2">
      <c r="A31" s="47"/>
      <c r="B31" s="47"/>
      <c r="C31" s="214" t="s">
        <v>124</v>
      </c>
      <c r="D31" s="253"/>
      <c r="E31" s="253"/>
      <c r="F31" s="301" t="s">
        <v>125</v>
      </c>
      <c r="G31" s="253"/>
      <c r="H31" s="215"/>
      <c r="I31" s="47"/>
      <c r="J31" s="47"/>
      <c r="K31" s="47"/>
      <c r="L31" s="47"/>
      <c r="M31" s="47"/>
      <c r="N31" s="47"/>
      <c r="P31" s="62"/>
    </row>
    <row r="32" spans="1:16" s="47" customFormat="1" ht="22.5" customHeight="1" x14ac:dyDescent="0.2">
      <c r="A32" s="142"/>
      <c r="B32" s="142"/>
      <c r="C32" s="128" t="s">
        <v>93</v>
      </c>
      <c r="D32" s="121" t="s">
        <v>94</v>
      </c>
      <c r="E32" s="165" t="s">
        <v>95</v>
      </c>
      <c r="F32" s="120" t="s">
        <v>96</v>
      </c>
      <c r="G32" s="120" t="s">
        <v>97</v>
      </c>
      <c r="H32" s="113" t="s">
        <v>98</v>
      </c>
      <c r="P32" s="63"/>
    </row>
    <row r="33" spans="1:16" s="88" customFormat="1" ht="37.5" customHeight="1" x14ac:dyDescent="0.2">
      <c r="A33" s="256" t="s">
        <v>73</v>
      </c>
      <c r="B33" s="192"/>
      <c r="C33" s="89">
        <v>25</v>
      </c>
      <c r="D33" s="89">
        <v>25</v>
      </c>
      <c r="E33" s="158">
        <v>25</v>
      </c>
      <c r="F33" s="164">
        <v>35</v>
      </c>
      <c r="G33" s="89">
        <v>35</v>
      </c>
      <c r="H33" s="89">
        <v>35</v>
      </c>
    </row>
    <row r="34" spans="1:16" s="64" customFormat="1" ht="37.5" customHeight="1" x14ac:dyDescent="0.2">
      <c r="A34" s="256" t="s">
        <v>74</v>
      </c>
      <c r="B34" s="256"/>
      <c r="C34" s="90">
        <v>10</v>
      </c>
      <c r="D34" s="90">
        <v>15</v>
      </c>
      <c r="E34" s="162">
        <v>20</v>
      </c>
      <c r="F34" s="163">
        <v>10</v>
      </c>
      <c r="G34" s="90">
        <v>15</v>
      </c>
      <c r="H34" s="90">
        <v>20</v>
      </c>
    </row>
    <row r="35" spans="1:16" s="67" customFormat="1" ht="48.75" customHeight="1" x14ac:dyDescent="0.2">
      <c r="A35" s="256" t="s">
        <v>75</v>
      </c>
      <c r="B35" s="192"/>
      <c r="C35" s="89">
        <v>25</v>
      </c>
      <c r="D35" s="89">
        <v>25</v>
      </c>
      <c r="E35" s="161">
        <v>25</v>
      </c>
      <c r="F35" s="159">
        <v>35</v>
      </c>
      <c r="G35" s="89">
        <v>35</v>
      </c>
      <c r="H35" s="89">
        <v>35</v>
      </c>
    </row>
    <row r="36" spans="1:16" s="67" customFormat="1" ht="38.25" customHeight="1" x14ac:dyDescent="0.2">
      <c r="A36" s="256" t="s">
        <v>134</v>
      </c>
      <c r="B36" s="192"/>
      <c r="C36" s="155">
        <v>50</v>
      </c>
      <c r="D36" s="155">
        <v>50</v>
      </c>
      <c r="E36" s="160">
        <v>50</v>
      </c>
      <c r="F36" s="298" t="s">
        <v>128</v>
      </c>
      <c r="G36" s="298"/>
      <c r="H36" s="299"/>
      <c r="I36" s="84"/>
    </row>
    <row r="37" spans="1:16" s="67" customFormat="1" ht="38.25" customHeight="1" x14ac:dyDescent="0.2">
      <c r="A37" s="256" t="s">
        <v>137</v>
      </c>
      <c r="B37" s="192"/>
      <c r="C37" s="89">
        <v>75</v>
      </c>
      <c r="D37" s="89">
        <v>75</v>
      </c>
      <c r="E37" s="158">
        <v>75</v>
      </c>
      <c r="F37" s="295" t="s">
        <v>128</v>
      </c>
      <c r="G37" s="296"/>
      <c r="H37" s="297"/>
      <c r="I37" s="84"/>
    </row>
    <row r="38" spans="1:16" s="67" customFormat="1" ht="9.75" customHeight="1" x14ac:dyDescent="0.2">
      <c r="A38" s="154"/>
      <c r="B38" s="154"/>
      <c r="C38" s="154"/>
      <c r="D38" s="154"/>
      <c r="E38" s="154"/>
      <c r="F38" s="154"/>
      <c r="G38" s="154"/>
      <c r="H38" s="154"/>
      <c r="I38" s="84"/>
    </row>
    <row r="39" spans="1:16" s="69" customFormat="1" ht="40.5" customHeight="1" x14ac:dyDescent="0.2">
      <c r="A39" s="268" t="s">
        <v>138</v>
      </c>
      <c r="B39" s="269"/>
      <c r="C39" s="269"/>
      <c r="D39" s="269"/>
      <c r="E39" s="269"/>
      <c r="F39" s="41"/>
      <c r="G39" s="41"/>
      <c r="H39" s="41"/>
      <c r="I39" s="41"/>
      <c r="J39" s="41"/>
      <c r="K39" s="41"/>
      <c r="L39" s="41"/>
      <c r="M39" s="41"/>
      <c r="N39" s="41"/>
    </row>
    <row r="40" spans="1:16" s="47" customFormat="1" ht="24" customHeight="1" x14ac:dyDescent="0.25">
      <c r="A40" s="153"/>
      <c r="C40" s="279" t="s">
        <v>130</v>
      </c>
      <c r="D40" s="279"/>
      <c r="E40" s="279"/>
      <c r="F40" s="279"/>
      <c r="G40" s="279"/>
      <c r="H40" s="279"/>
      <c r="I40" s="279" t="s">
        <v>129</v>
      </c>
      <c r="J40" s="279"/>
      <c r="K40" s="279"/>
      <c r="L40" s="279"/>
      <c r="M40" s="279"/>
      <c r="N40" s="279"/>
      <c r="P40" s="63"/>
    </row>
    <row r="41" spans="1:16" s="68" customFormat="1" ht="98.25" customHeight="1" x14ac:dyDescent="0.2">
      <c r="A41" s="195" t="s">
        <v>132</v>
      </c>
      <c r="B41" s="196"/>
      <c r="C41" s="287" t="s">
        <v>89</v>
      </c>
      <c r="D41" s="288"/>
      <c r="E41" s="288"/>
      <c r="F41" s="288"/>
      <c r="G41" s="288"/>
      <c r="H41" s="289"/>
      <c r="I41" s="290" t="s">
        <v>87</v>
      </c>
      <c r="J41" s="291"/>
      <c r="K41" s="291"/>
      <c r="L41" s="291"/>
      <c r="M41" s="291"/>
      <c r="N41" s="292"/>
    </row>
    <row r="42" spans="1:16" s="47" customFormat="1" ht="111.75" customHeight="1" x14ac:dyDescent="0.2">
      <c r="A42" s="293" t="s">
        <v>77</v>
      </c>
      <c r="B42" s="294"/>
      <c r="C42" s="263" t="s">
        <v>87</v>
      </c>
      <c r="D42" s="264"/>
      <c r="E42" s="264"/>
      <c r="F42" s="264"/>
      <c r="G42" s="264"/>
      <c r="H42" s="265"/>
      <c r="I42" s="260" t="s">
        <v>91</v>
      </c>
      <c r="J42" s="261"/>
      <c r="K42" s="261"/>
      <c r="L42" s="261"/>
      <c r="M42" s="261"/>
      <c r="N42" s="262"/>
      <c r="P42" s="63"/>
    </row>
    <row r="43" spans="1:16" s="59" customFormat="1" ht="36.75" customHeight="1" x14ac:dyDescent="0.2">
      <c r="A43" s="286"/>
      <c r="B43" s="203"/>
      <c r="C43" s="203"/>
      <c r="D43" s="203"/>
      <c r="E43" s="203"/>
      <c r="F43" s="203"/>
      <c r="G43" s="203"/>
      <c r="H43" s="203"/>
      <c r="I43" s="203"/>
      <c r="J43" s="203"/>
      <c r="K43" s="203"/>
      <c r="L43" s="203"/>
      <c r="M43" s="203"/>
      <c r="N43" s="203"/>
    </row>
    <row r="44" spans="1:16" s="59" customFormat="1" ht="35.25" customHeight="1" x14ac:dyDescent="0.2">
      <c r="A44" s="204" t="s">
        <v>4</v>
      </c>
      <c r="B44" s="205"/>
      <c r="C44" s="205"/>
      <c r="D44" s="205"/>
      <c r="E44" s="123"/>
      <c r="F44" s="111"/>
      <c r="G44" s="111"/>
      <c r="H44" s="111"/>
      <c r="I44" s="111"/>
      <c r="J44" s="111"/>
      <c r="K44" s="134"/>
      <c r="L44" s="134"/>
      <c r="M44" s="134"/>
      <c r="N44" s="134"/>
      <c r="P44" s="63"/>
    </row>
    <row r="45" spans="1:16" s="59" customFormat="1" ht="19.5" customHeight="1" x14ac:dyDescent="0.2">
      <c r="A45" s="270"/>
      <c r="B45" s="271"/>
      <c r="C45" s="271"/>
      <c r="D45" s="271"/>
      <c r="E45" s="271"/>
      <c r="F45" s="271"/>
      <c r="G45" s="271"/>
      <c r="H45" s="271"/>
      <c r="I45" s="271"/>
      <c r="J45" s="271"/>
      <c r="K45" s="272"/>
      <c r="L45" s="272"/>
      <c r="M45" s="272"/>
      <c r="N45" s="272"/>
      <c r="P45" s="71"/>
    </row>
    <row r="46" spans="1:16" s="39" customFormat="1" ht="42" customHeight="1" x14ac:dyDescent="0.3">
      <c r="A46" s="206" t="s">
        <v>72</v>
      </c>
      <c r="B46" s="207"/>
      <c r="C46" s="207"/>
      <c r="D46" s="207"/>
      <c r="E46" s="208"/>
      <c r="F46" s="273"/>
      <c r="G46" s="209"/>
      <c r="H46" s="210" t="s">
        <v>71</v>
      </c>
      <c r="I46" s="274"/>
      <c r="J46" s="274"/>
      <c r="K46" s="274"/>
      <c r="L46" s="274"/>
      <c r="M46" s="274"/>
      <c r="N46" s="274"/>
      <c r="P46" s="40"/>
    </row>
    <row r="47" spans="1:16" s="68" customFormat="1" ht="36" customHeight="1" x14ac:dyDescent="0.2">
      <c r="A47" s="189" t="s">
        <v>131</v>
      </c>
      <c r="B47" s="189"/>
      <c r="C47" s="189"/>
      <c r="D47" s="189"/>
      <c r="E47" s="189"/>
      <c r="F47" s="189"/>
      <c r="G47" s="189"/>
      <c r="H47" s="189"/>
      <c r="I47" s="189"/>
      <c r="J47" s="189"/>
      <c r="K47" s="189"/>
      <c r="L47" s="189"/>
      <c r="M47" s="189"/>
      <c r="N47" s="189"/>
    </row>
    <row r="48" spans="1:16" s="59" customFormat="1" ht="139.5" customHeight="1" x14ac:dyDescent="0.35">
      <c r="A48" s="133"/>
      <c r="B48" s="133"/>
      <c r="C48" s="133"/>
      <c r="D48" s="133"/>
      <c r="E48" s="133"/>
      <c r="F48" s="133"/>
      <c r="G48" s="133"/>
      <c r="H48" s="133"/>
      <c r="I48" s="133"/>
      <c r="J48" s="133"/>
      <c r="K48" s="133"/>
      <c r="L48" s="133"/>
      <c r="M48" s="190"/>
      <c r="N48" s="190"/>
    </row>
    <row r="49" spans="1:16" s="59" customFormat="1" ht="150" customHeight="1" x14ac:dyDescent="0.35">
      <c r="A49" s="133"/>
      <c r="B49" s="133"/>
      <c r="C49" s="133"/>
      <c r="D49" s="133"/>
      <c r="E49" s="133"/>
      <c r="F49" s="133"/>
      <c r="G49" s="133"/>
      <c r="H49" s="133"/>
      <c r="I49" s="133"/>
      <c r="J49" s="133"/>
      <c r="K49" s="133"/>
      <c r="L49" s="133"/>
      <c r="M49" s="190"/>
      <c r="N49" s="190"/>
    </row>
    <row r="50" spans="1:16" s="59" customFormat="1" ht="129.75" customHeight="1" x14ac:dyDescent="0.35">
      <c r="A50" s="133"/>
      <c r="B50" s="133"/>
      <c r="C50" s="133"/>
      <c r="D50" s="133"/>
      <c r="E50" s="133"/>
      <c r="F50" s="133"/>
      <c r="G50" s="133"/>
      <c r="H50" s="133"/>
      <c r="I50" s="133"/>
      <c r="J50" s="133"/>
      <c r="K50" s="133"/>
      <c r="L50" s="133"/>
      <c r="M50" s="190"/>
      <c r="N50" s="190"/>
    </row>
    <row r="51" spans="1:16" s="50" customFormat="1" ht="7.5" customHeight="1" x14ac:dyDescent="0.35">
      <c r="A51" s="133"/>
      <c r="B51" s="133"/>
      <c r="C51" s="133"/>
      <c r="D51" s="133"/>
      <c r="E51" s="133"/>
      <c r="F51" s="133"/>
      <c r="G51" s="133"/>
      <c r="H51" s="133"/>
      <c r="I51" s="133"/>
      <c r="J51" s="133"/>
      <c r="K51" s="133"/>
      <c r="L51" s="133"/>
      <c r="M51" s="190"/>
      <c r="N51" s="190"/>
      <c r="P51" s="72"/>
    </row>
    <row r="52" spans="1:16" s="73" customFormat="1" ht="27" customHeight="1" x14ac:dyDescent="0.35">
      <c r="A52" s="133"/>
      <c r="B52" s="133"/>
      <c r="C52" s="133"/>
      <c r="D52" s="133"/>
      <c r="E52" s="133"/>
      <c r="F52" s="133"/>
      <c r="G52" s="133"/>
      <c r="H52" s="133"/>
      <c r="I52" s="133"/>
      <c r="J52" s="133"/>
      <c r="K52" s="133"/>
      <c r="L52" s="133"/>
      <c r="M52" s="190"/>
      <c r="N52" s="190"/>
    </row>
    <row r="53" spans="1:16" s="134" customFormat="1" ht="9.75" customHeight="1" x14ac:dyDescent="0.35">
      <c r="A53" s="133"/>
      <c r="B53" s="133"/>
      <c r="C53" s="133"/>
      <c r="D53" s="133"/>
      <c r="E53" s="133"/>
      <c r="F53" s="133"/>
      <c r="G53" s="133"/>
      <c r="H53" s="133"/>
      <c r="I53" s="133"/>
      <c r="J53" s="133"/>
      <c r="K53" s="133"/>
      <c r="L53" s="133"/>
      <c r="M53" s="190"/>
      <c r="N53" s="190"/>
    </row>
    <row r="54" spans="1:16" s="73" customFormat="1" ht="36" customHeight="1" x14ac:dyDescent="0.35">
      <c r="A54" s="133"/>
      <c r="B54" s="133"/>
      <c r="C54" s="133"/>
      <c r="D54" s="133"/>
      <c r="E54" s="133"/>
      <c r="F54" s="133"/>
      <c r="G54" s="133"/>
      <c r="H54" s="133"/>
      <c r="I54" s="133"/>
      <c r="J54" s="133"/>
      <c r="K54" s="133"/>
      <c r="L54" s="133"/>
      <c r="M54" s="190"/>
      <c r="N54" s="190"/>
    </row>
    <row r="55" spans="1:16" s="47" customFormat="1" ht="33" customHeight="1" x14ac:dyDescent="0.35">
      <c r="A55" s="133"/>
      <c r="B55" s="133"/>
      <c r="C55" s="133"/>
      <c r="D55" s="133"/>
      <c r="E55" s="133"/>
      <c r="F55" s="133"/>
      <c r="G55" s="133"/>
      <c r="H55" s="133"/>
      <c r="I55" s="133"/>
      <c r="J55" s="133"/>
      <c r="K55" s="133"/>
      <c r="L55" s="133"/>
      <c r="M55" s="133"/>
      <c r="N55" s="133"/>
      <c r="P55" s="63"/>
    </row>
    <row r="61" spans="1:16" x14ac:dyDescent="0.35">
      <c r="P61" s="133"/>
    </row>
    <row r="62" spans="1:16" x14ac:dyDescent="0.35">
      <c r="P62" s="133"/>
    </row>
  </sheetData>
  <sheetProtection algorithmName="SHA-512" hashValue="H6+3XZ/OPeclRGSQwP5vyXQtTWu+TFhsUoq/oLtAXf5EERxfpJzI/gLLoG8VkOVeCO+cr+V0Ay+1H4+jN6P4Fw==" saltValue="botv+hbvm5f6Hvidy3o32w==" spinCount="100000" sheet="1" objects="1" scenarios="1" selectLockedCells="1"/>
  <mergeCells count="77">
    <mergeCell ref="A17:B17"/>
    <mergeCell ref="A18:B18"/>
    <mergeCell ref="A34:B34"/>
    <mergeCell ref="A23:B23"/>
    <mergeCell ref="A24:B24"/>
    <mergeCell ref="A25:B25"/>
    <mergeCell ref="A26:B26"/>
    <mergeCell ref="A30:N30"/>
    <mergeCell ref="A33:B33"/>
    <mergeCell ref="O6:O8"/>
    <mergeCell ref="O9:O11"/>
    <mergeCell ref="C31:E31"/>
    <mergeCell ref="F31:H31"/>
    <mergeCell ref="A10:N10"/>
    <mergeCell ref="A11:D11"/>
    <mergeCell ref="E11:N11"/>
    <mergeCell ref="B6:D6"/>
    <mergeCell ref="K6:L6"/>
    <mergeCell ref="B7:D7"/>
    <mergeCell ref="G7:J7"/>
    <mergeCell ref="K7:L7"/>
    <mergeCell ref="B8:C8"/>
    <mergeCell ref="G8:J8"/>
    <mergeCell ref="K8:L8"/>
    <mergeCell ref="A16:B16"/>
    <mergeCell ref="M54:N54"/>
    <mergeCell ref="A44:D44"/>
    <mergeCell ref="A45:N45"/>
    <mergeCell ref="A46:G46"/>
    <mergeCell ref="H46:N46"/>
    <mergeCell ref="A47:N47"/>
    <mergeCell ref="M48:N48"/>
    <mergeCell ref="M49:N49"/>
    <mergeCell ref="M50:N50"/>
    <mergeCell ref="M51:N51"/>
    <mergeCell ref="M52:N52"/>
    <mergeCell ref="M53:N53"/>
    <mergeCell ref="A43:N43"/>
    <mergeCell ref="A35:B35"/>
    <mergeCell ref="A36:B36"/>
    <mergeCell ref="C40:H40"/>
    <mergeCell ref="I40:N40"/>
    <mergeCell ref="A41:B41"/>
    <mergeCell ref="C41:H41"/>
    <mergeCell ref="I41:N41"/>
    <mergeCell ref="A42:B42"/>
    <mergeCell ref="C42:H42"/>
    <mergeCell ref="I42:N42"/>
    <mergeCell ref="A37:B37"/>
    <mergeCell ref="F37:H37"/>
    <mergeCell ref="F36:H36"/>
    <mergeCell ref="A39:E39"/>
    <mergeCell ref="P27:P29"/>
    <mergeCell ref="A28:D28"/>
    <mergeCell ref="E28:N28"/>
    <mergeCell ref="G19:H19"/>
    <mergeCell ref="M19:N19"/>
    <mergeCell ref="P20:P22"/>
    <mergeCell ref="A22:B22"/>
    <mergeCell ref="C21:E21"/>
    <mergeCell ref="E19:F19"/>
    <mergeCell ref="P13:P15"/>
    <mergeCell ref="A14:B14"/>
    <mergeCell ref="A15:B15"/>
    <mergeCell ref="C13:E13"/>
    <mergeCell ref="B9:C9"/>
    <mergeCell ref="G9:J9"/>
    <mergeCell ref="K9:L9"/>
    <mergeCell ref="M9:N9"/>
    <mergeCell ref="M6:N6"/>
    <mergeCell ref="M7:N7"/>
    <mergeCell ref="M8:N8"/>
    <mergeCell ref="A1:N1"/>
    <mergeCell ref="A2:N2"/>
    <mergeCell ref="A3:D3"/>
    <mergeCell ref="E3:N3"/>
    <mergeCell ref="B4:N4"/>
  </mergeCells>
  <conditionalFormatting sqref="O4">
    <cfRule type="expression" dxfId="11" priority="138" stopIfTrue="1">
      <formula>$K$13=0</formula>
    </cfRule>
    <cfRule type="cellIs" dxfId="10" priority="139" stopIfTrue="1" operator="equal">
      <formula>0</formula>
    </cfRule>
  </conditionalFormatting>
  <conditionalFormatting sqref="O6">
    <cfRule type="expression" dxfId="9" priority="140" stopIfTrue="1">
      <formula>$K$13=0</formula>
    </cfRule>
    <cfRule type="expression" dxfId="8" priority="141" stopIfTrue="1">
      <formula>$K$13=1</formula>
    </cfRule>
  </conditionalFormatting>
  <conditionalFormatting sqref="C16:E16">
    <cfRule type="expression" dxfId="7" priority="159">
      <formula>$K$13&lt;2</formula>
    </cfRule>
  </conditionalFormatting>
  <conditionalFormatting sqref="C18:E18">
    <cfRule type="expression" dxfId="6" priority="163">
      <formula>$K$13&lt;2</formula>
    </cfRule>
  </conditionalFormatting>
  <conditionalFormatting sqref="O9">
    <cfRule type="expression" dxfId="5" priority="4" stopIfTrue="1">
      <formula>$M$13=0</formula>
    </cfRule>
    <cfRule type="expression" dxfId="4" priority="5" stopIfTrue="1">
      <formula>$M$13=1</formula>
    </cfRule>
  </conditionalFormatting>
  <conditionalFormatting sqref="C23:E23 C25:E25">
    <cfRule type="expression" dxfId="3" priority="3">
      <formula>$M$13&lt;2</formula>
    </cfRule>
  </conditionalFormatting>
  <conditionalFormatting sqref="C15:E15 C17:E17">
    <cfRule type="expression" dxfId="2" priority="143">
      <formula>$K$13&lt;2</formula>
    </cfRule>
  </conditionalFormatting>
  <conditionalFormatting sqref="C26:E26">
    <cfRule type="expression" dxfId="1" priority="2">
      <formula>$M$13&lt;2</formula>
    </cfRule>
  </conditionalFormatting>
  <conditionalFormatting sqref="C24:E24">
    <cfRule type="expression" dxfId="0" priority="1">
      <formula>$M$13&lt;2</formula>
    </cfRule>
  </conditionalFormatting>
  <dataValidations disablePrompts="1" count="3">
    <dataValidation allowBlank="1" sqref="A5:A10 B8:C10 D10:N10 K7:K9 D8:D9 B5:L5 G7:G9 K13 M5:M9 N5 M13" xr:uid="{EE31C010-F0DD-4AFF-9E3D-5C89CEDDAD04}"/>
    <dataValidation type="list" allowBlank="1" sqref="B7:C7" xr:uid="{1D72357A-C82E-4352-A9B2-02EA785A8DE7}">
      <formula1>List_Area</formula1>
    </dataValidation>
    <dataValidation type="list" allowBlank="1" sqref="B6:C6" xr:uid="{4F1077D3-EB32-41C8-B06D-D38A79A6D154}">
      <formula1>List_EffDate</formula1>
    </dataValidation>
  </dataValidations>
  <printOptions horizontalCentered="1"/>
  <pageMargins left="0.4" right="0.4" top="0.5" bottom="0.4" header="0.3" footer="0.3"/>
  <pageSetup scale="53" fitToHeight="2" orientation="landscape" r:id="rId1"/>
  <headerFooter>
    <oddFooter>&amp;L&amp;D&amp;RCPS-006  05/22</oddFooter>
  </headerFooter>
  <rowBreaks count="1" manualBreakCount="1">
    <brk id="2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1"/>
  </sheetPr>
  <dimension ref="A1:BD127"/>
  <sheetViews>
    <sheetView zoomScaleNormal="100" workbookViewId="0">
      <selection activeCell="B10" sqref="B10"/>
    </sheetView>
  </sheetViews>
  <sheetFormatPr defaultColWidth="9.140625" defaultRowHeight="15" x14ac:dyDescent="0.2"/>
  <cols>
    <col min="1" max="1" width="23.5703125" style="14" bestFit="1" customWidth="1"/>
    <col min="2" max="2" width="32.140625" style="14" bestFit="1" customWidth="1"/>
    <col min="3" max="3" width="24" style="14" customWidth="1"/>
    <col min="4" max="4" width="36.85546875" style="14" bestFit="1" customWidth="1"/>
    <col min="5" max="12" width="7.140625" style="14" hidden="1" customWidth="1"/>
    <col min="13" max="15" width="10.5703125" style="14" bestFit="1" customWidth="1"/>
    <col min="16" max="17" width="9.85546875" style="14" bestFit="1" customWidth="1"/>
    <col min="18" max="18" width="11.28515625" style="14" bestFit="1" customWidth="1"/>
    <col min="19" max="19" width="9.85546875" style="14" bestFit="1" customWidth="1"/>
    <col min="20" max="21" width="11.28515625" style="14" bestFit="1" customWidth="1"/>
    <col min="22" max="23" width="9.85546875" style="14" bestFit="1" customWidth="1"/>
    <col min="24" max="24" width="11.28515625" style="14" bestFit="1" customWidth="1"/>
    <col min="25" max="25" width="9.85546875" style="14" bestFit="1" customWidth="1"/>
    <col min="26" max="27" width="11.28515625" style="14" bestFit="1" customWidth="1"/>
    <col min="28" max="28" width="9.85546875" style="14" bestFit="1" customWidth="1"/>
    <col min="29" max="29" width="11.28515625" style="14" bestFit="1" customWidth="1"/>
    <col min="30" max="30" width="11.140625" style="14" customWidth="1"/>
    <col min="31" max="36" width="9.85546875" style="14" bestFit="1" customWidth="1"/>
    <col min="37" max="37" width="8.42578125" style="14" bestFit="1" customWidth="1"/>
    <col min="38" max="40" width="9.85546875" style="14" bestFit="1" customWidth="1"/>
    <col min="41" max="41" width="8.42578125" style="14" bestFit="1" customWidth="1"/>
    <col min="42" max="44" width="9.85546875" style="14" bestFit="1" customWidth="1"/>
    <col min="45" max="45" width="8.42578125" style="14" bestFit="1" customWidth="1"/>
    <col min="46" max="46" width="9.85546875" style="14" bestFit="1" customWidth="1"/>
    <col min="47" max="47" width="8.42578125" style="14" bestFit="1" customWidth="1"/>
    <col min="48" max="48" width="9.85546875" style="14" bestFit="1" customWidth="1"/>
    <col min="49" max="49" width="8.42578125" style="14" bestFit="1" customWidth="1"/>
    <col min="50" max="50" width="9.85546875" style="14" bestFit="1" customWidth="1"/>
    <col min="51" max="51" width="8.42578125" style="14" bestFit="1" customWidth="1"/>
    <col min="52" max="52" width="9.85546875" style="14" bestFit="1" customWidth="1"/>
    <col min="53" max="16384" width="9.140625" style="14"/>
  </cols>
  <sheetData>
    <row r="1" spans="1:52" s="17" customFormat="1" x14ac:dyDescent="0.2">
      <c r="A1" s="15" t="s">
        <v>6</v>
      </c>
      <c r="B1" s="12" t="s">
        <v>10</v>
      </c>
      <c r="C1" s="16"/>
      <c r="D1" s="15" t="s">
        <v>23</v>
      </c>
      <c r="E1" s="305" t="s">
        <v>28</v>
      </c>
      <c r="F1" s="306"/>
      <c r="G1" s="306"/>
      <c r="H1" s="307"/>
      <c r="I1" s="305" t="s">
        <v>29</v>
      </c>
      <c r="J1" s="306"/>
      <c r="K1" s="306"/>
      <c r="L1" s="307"/>
      <c r="M1" s="308" t="s">
        <v>101</v>
      </c>
      <c r="N1" s="308"/>
      <c r="O1" s="308"/>
      <c r="P1" s="308"/>
      <c r="Q1" s="308" t="s">
        <v>102</v>
      </c>
      <c r="R1" s="308"/>
      <c r="S1" s="308"/>
      <c r="T1" s="308"/>
      <c r="U1" s="308" t="s">
        <v>30</v>
      </c>
      <c r="V1" s="308"/>
      <c r="W1" s="308"/>
      <c r="X1" s="308"/>
      <c r="Y1" s="308" t="s">
        <v>31</v>
      </c>
      <c r="Z1" s="308"/>
      <c r="AA1" s="308"/>
      <c r="AB1" s="308"/>
      <c r="AC1" s="308" t="s">
        <v>106</v>
      </c>
      <c r="AD1" s="308"/>
      <c r="AE1" s="308"/>
      <c r="AF1" s="308"/>
      <c r="AG1" s="305" t="s">
        <v>107</v>
      </c>
      <c r="AH1" s="306"/>
      <c r="AI1" s="306"/>
      <c r="AJ1" s="307"/>
    </row>
    <row r="2" spans="1:52" s="13" customFormat="1" x14ac:dyDescent="0.2">
      <c r="A2" s="1" t="s">
        <v>12</v>
      </c>
      <c r="B2" s="1" t="s">
        <v>11</v>
      </c>
      <c r="C2" s="7"/>
      <c r="D2" s="1" t="s">
        <v>62</v>
      </c>
      <c r="E2" s="92"/>
      <c r="F2" s="22"/>
      <c r="G2" s="22"/>
      <c r="H2" s="93"/>
      <c r="I2" s="92"/>
      <c r="J2" s="22"/>
      <c r="K2" s="22"/>
      <c r="L2" s="93"/>
      <c r="M2" s="172">
        <v>3.12</v>
      </c>
      <c r="N2" s="173">
        <v>6.22</v>
      </c>
      <c r="O2" s="173">
        <v>4.82</v>
      </c>
      <c r="P2" s="174">
        <v>9.0399999999999991</v>
      </c>
      <c r="Q2" s="172">
        <v>3.66</v>
      </c>
      <c r="R2" s="173">
        <v>7.34</v>
      </c>
      <c r="S2" s="173">
        <v>5.66</v>
      </c>
      <c r="T2" s="174">
        <v>10.64</v>
      </c>
      <c r="U2" s="172"/>
      <c r="V2" s="173"/>
      <c r="W2" s="173"/>
      <c r="X2" s="174"/>
      <c r="Y2" s="172"/>
      <c r="Z2" s="173"/>
      <c r="AA2" s="173"/>
      <c r="AB2" s="174"/>
      <c r="AC2" s="172">
        <v>5.83</v>
      </c>
      <c r="AD2" s="173">
        <v>11.66</v>
      </c>
      <c r="AE2" s="173">
        <v>8.91</v>
      </c>
      <c r="AF2" s="174">
        <v>16.920000000000002</v>
      </c>
      <c r="AG2" s="172">
        <v>6.91</v>
      </c>
      <c r="AH2" s="173">
        <v>13.83</v>
      </c>
      <c r="AI2" s="173">
        <v>10.55</v>
      </c>
      <c r="AJ2" s="174">
        <v>20.03</v>
      </c>
    </row>
    <row r="3" spans="1:52" s="13" customFormat="1" x14ac:dyDescent="0.2">
      <c r="A3" s="1" t="s">
        <v>13</v>
      </c>
      <c r="B3" s="104">
        <v>44774</v>
      </c>
      <c r="C3" s="7"/>
      <c r="D3" s="1" t="s">
        <v>24</v>
      </c>
      <c r="E3" s="92"/>
      <c r="F3" s="22"/>
      <c r="G3" s="22"/>
      <c r="H3" s="93"/>
      <c r="I3" s="92"/>
      <c r="J3" s="22"/>
      <c r="K3" s="22"/>
      <c r="L3" s="93"/>
      <c r="M3" s="172">
        <v>3.4</v>
      </c>
      <c r="N3" s="173">
        <v>6.77</v>
      </c>
      <c r="O3" s="173">
        <v>5.24</v>
      </c>
      <c r="P3" s="174">
        <v>9.82</v>
      </c>
      <c r="Q3" s="172">
        <v>3.99</v>
      </c>
      <c r="R3" s="173">
        <v>7.97</v>
      </c>
      <c r="S3" s="173">
        <v>6.16</v>
      </c>
      <c r="T3" s="174">
        <v>11.56</v>
      </c>
      <c r="U3" s="172"/>
      <c r="V3" s="173"/>
      <c r="W3" s="173"/>
      <c r="X3" s="174"/>
      <c r="Y3" s="172"/>
      <c r="Z3" s="173"/>
      <c r="AA3" s="173"/>
      <c r="AB3" s="174"/>
      <c r="AC3" s="172">
        <v>6.85</v>
      </c>
      <c r="AD3" s="173">
        <v>13.7</v>
      </c>
      <c r="AE3" s="173">
        <v>10.42</v>
      </c>
      <c r="AF3" s="174">
        <v>19.86</v>
      </c>
      <c r="AG3" s="172">
        <v>8.1300000000000008</v>
      </c>
      <c r="AH3" s="173">
        <v>16.239999999999998</v>
      </c>
      <c r="AI3" s="173">
        <v>12.37</v>
      </c>
      <c r="AJ3" s="174">
        <v>23.58</v>
      </c>
    </row>
    <row r="4" spans="1:52" s="13" customFormat="1" x14ac:dyDescent="0.2">
      <c r="A4" s="1" t="s">
        <v>61</v>
      </c>
      <c r="B4" s="104">
        <v>44805</v>
      </c>
      <c r="C4" s="7"/>
      <c r="D4" s="1" t="s">
        <v>63</v>
      </c>
      <c r="E4" s="92"/>
      <c r="F4" s="22"/>
      <c r="G4" s="22"/>
      <c r="H4" s="93"/>
      <c r="I4" s="92"/>
      <c r="J4" s="22"/>
      <c r="K4" s="22"/>
      <c r="L4" s="93"/>
      <c r="M4" s="172">
        <v>2.4500000000000002</v>
      </c>
      <c r="N4" s="173">
        <v>4.9000000000000004</v>
      </c>
      <c r="O4" s="173">
        <v>3.8</v>
      </c>
      <c r="P4" s="174">
        <v>7.12</v>
      </c>
      <c r="Q4" s="172">
        <v>2.88</v>
      </c>
      <c r="R4" s="173">
        <v>5.76</v>
      </c>
      <c r="S4" s="173">
        <v>4.46</v>
      </c>
      <c r="T4" s="174">
        <v>8.36</v>
      </c>
      <c r="U4" s="172"/>
      <c r="V4" s="173"/>
      <c r="W4" s="173"/>
      <c r="X4" s="174"/>
      <c r="Y4" s="172"/>
      <c r="Z4" s="173"/>
      <c r="AA4" s="173"/>
      <c r="AB4" s="174"/>
      <c r="AC4" s="172">
        <v>4.58</v>
      </c>
      <c r="AD4" s="173">
        <v>9.14</v>
      </c>
      <c r="AE4" s="173">
        <v>6.99</v>
      </c>
      <c r="AF4" s="174">
        <v>13.27</v>
      </c>
      <c r="AG4" s="172">
        <v>5.42</v>
      </c>
      <c r="AH4" s="173">
        <v>10.85</v>
      </c>
      <c r="AI4" s="173">
        <v>8.27</v>
      </c>
      <c r="AJ4" s="174">
        <v>15.73</v>
      </c>
    </row>
    <row r="5" spans="1:52" s="13" customFormat="1" x14ac:dyDescent="0.2">
      <c r="A5" s="1"/>
      <c r="B5" s="104">
        <v>44835</v>
      </c>
      <c r="C5" s="7"/>
      <c r="D5" s="1" t="s">
        <v>25</v>
      </c>
      <c r="E5" s="92"/>
      <c r="F5" s="22"/>
      <c r="G5" s="22"/>
      <c r="H5" s="93"/>
      <c r="I5" s="92"/>
      <c r="J5" s="22"/>
      <c r="K5" s="22"/>
      <c r="L5" s="93"/>
      <c r="M5" s="172">
        <v>2.66</v>
      </c>
      <c r="N5" s="173">
        <v>5.33</v>
      </c>
      <c r="O5" s="173">
        <v>4.13</v>
      </c>
      <c r="P5" s="174">
        <v>7.73</v>
      </c>
      <c r="Q5" s="172">
        <v>3.14</v>
      </c>
      <c r="R5" s="173">
        <v>6.27</v>
      </c>
      <c r="S5" s="173">
        <v>4.8600000000000003</v>
      </c>
      <c r="T5" s="174">
        <v>9.08</v>
      </c>
      <c r="U5" s="172"/>
      <c r="V5" s="173"/>
      <c r="W5" s="173"/>
      <c r="X5" s="174"/>
      <c r="Y5" s="172"/>
      <c r="Z5" s="173"/>
      <c r="AA5" s="173"/>
      <c r="AB5" s="174"/>
      <c r="AC5" s="172">
        <v>5.37</v>
      </c>
      <c r="AD5" s="173">
        <v>10.75</v>
      </c>
      <c r="AE5" s="173">
        <v>8.19</v>
      </c>
      <c r="AF5" s="174">
        <v>15.6</v>
      </c>
      <c r="AG5" s="172">
        <v>6.38</v>
      </c>
      <c r="AH5" s="173">
        <v>12.78</v>
      </c>
      <c r="AI5" s="173">
        <v>9.6999999999999993</v>
      </c>
      <c r="AJ5" s="174">
        <v>18.53</v>
      </c>
    </row>
    <row r="6" spans="1:52" s="13" customFormat="1" x14ac:dyDescent="0.2">
      <c r="A6" s="1"/>
      <c r="B6" s="104">
        <v>44866</v>
      </c>
      <c r="C6" s="7"/>
      <c r="D6" s="1"/>
      <c r="E6" s="8"/>
      <c r="F6" s="9"/>
      <c r="G6" s="9"/>
      <c r="H6" s="10"/>
      <c r="I6" s="8"/>
      <c r="J6" s="9"/>
      <c r="K6" s="9"/>
      <c r="L6" s="10"/>
      <c r="M6" s="8"/>
      <c r="N6" s="9"/>
      <c r="O6" s="9"/>
      <c r="P6" s="10"/>
      <c r="Q6" s="8"/>
      <c r="R6" s="9"/>
      <c r="S6" s="9"/>
      <c r="T6" s="10"/>
      <c r="U6" s="8"/>
      <c r="V6" s="9"/>
      <c r="W6" s="9"/>
      <c r="X6" s="10"/>
      <c r="Y6" s="8"/>
      <c r="Z6" s="9"/>
      <c r="AA6" s="9"/>
      <c r="AB6" s="10"/>
      <c r="AC6" s="8"/>
      <c r="AD6" s="9"/>
      <c r="AE6" s="9"/>
      <c r="AF6" s="10"/>
      <c r="AG6" s="8"/>
      <c r="AH6" s="9"/>
      <c r="AI6" s="9"/>
      <c r="AJ6" s="10"/>
    </row>
    <row r="7" spans="1:52" s="13" customFormat="1" x14ac:dyDescent="0.2">
      <c r="A7" s="1"/>
      <c r="B7" s="104">
        <v>44896</v>
      </c>
      <c r="C7" s="7"/>
      <c r="D7" s="1"/>
      <c r="E7" s="8"/>
      <c r="F7" s="9"/>
      <c r="G7" s="9"/>
      <c r="H7" s="10"/>
      <c r="I7" s="8"/>
      <c r="J7" s="9"/>
      <c r="K7" s="9"/>
      <c r="L7" s="10"/>
      <c r="M7" s="8"/>
      <c r="N7" s="9"/>
      <c r="O7" s="9"/>
      <c r="P7" s="10"/>
      <c r="Q7" s="8"/>
      <c r="R7" s="9"/>
      <c r="S7" s="9"/>
      <c r="T7" s="10"/>
      <c r="U7" s="8"/>
      <c r="V7" s="9"/>
      <c r="W7" s="9"/>
      <c r="X7" s="10"/>
      <c r="Y7" s="8"/>
      <c r="Z7" s="9"/>
      <c r="AA7" s="9"/>
      <c r="AB7" s="10"/>
      <c r="AC7" s="8"/>
      <c r="AD7" s="9"/>
      <c r="AE7" s="9"/>
      <c r="AF7" s="10"/>
      <c r="AG7" s="8"/>
      <c r="AH7" s="9"/>
      <c r="AI7" s="9"/>
      <c r="AJ7" s="10"/>
    </row>
    <row r="8" spans="1:52" s="13" customFormat="1" ht="15.75" customHeight="1" x14ac:dyDescent="0.2">
      <c r="A8" s="1"/>
      <c r="B8" s="104">
        <v>44927</v>
      </c>
      <c r="C8" s="7"/>
      <c r="D8" s="1"/>
      <c r="E8" s="8"/>
      <c r="F8" s="9"/>
      <c r="G8" s="9"/>
      <c r="H8" s="10"/>
      <c r="I8" s="8"/>
      <c r="J8" s="9"/>
      <c r="K8" s="9"/>
      <c r="L8" s="10"/>
      <c r="M8" s="8"/>
      <c r="N8" s="9"/>
      <c r="O8" s="9"/>
      <c r="P8" s="10"/>
      <c r="Q8" s="8"/>
      <c r="R8" s="9"/>
      <c r="S8" s="9"/>
      <c r="T8" s="10"/>
      <c r="U8" s="8"/>
      <c r="V8" s="9"/>
      <c r="W8" s="9"/>
      <c r="X8" s="10"/>
      <c r="Y8" s="8"/>
      <c r="Z8" s="9"/>
      <c r="AA8" s="9"/>
      <c r="AB8" s="10"/>
      <c r="AC8" s="8"/>
      <c r="AD8" s="9"/>
      <c r="AE8" s="9"/>
      <c r="AF8" s="10"/>
      <c r="AG8" s="8"/>
      <c r="AH8" s="9"/>
      <c r="AI8" s="9"/>
      <c r="AJ8" s="10"/>
    </row>
    <row r="9" spans="1:52" s="13" customFormat="1" x14ac:dyDescent="0.2">
      <c r="A9" s="94"/>
      <c r="B9" s="104">
        <v>44958</v>
      </c>
      <c r="C9" s="7"/>
      <c r="D9" s="1"/>
      <c r="E9" s="8"/>
      <c r="F9" s="9"/>
      <c r="G9" s="9"/>
      <c r="H9" s="10"/>
      <c r="I9" s="8"/>
      <c r="J9" s="9"/>
      <c r="K9" s="9"/>
      <c r="L9" s="10"/>
      <c r="M9" s="8"/>
      <c r="N9" s="9"/>
      <c r="O9" s="9"/>
      <c r="P9" s="10"/>
      <c r="Q9" s="8"/>
      <c r="R9" s="9"/>
      <c r="S9" s="9"/>
      <c r="T9" s="10"/>
      <c r="U9" s="8"/>
      <c r="V9" s="9"/>
      <c r="W9" s="9"/>
      <c r="X9" s="10"/>
      <c r="Y9" s="8"/>
      <c r="Z9" s="9"/>
      <c r="AA9" s="9"/>
      <c r="AB9" s="10"/>
      <c r="AC9" s="8"/>
      <c r="AD9" s="9"/>
      <c r="AE9" s="9"/>
      <c r="AF9" s="10"/>
      <c r="AG9" s="8"/>
      <c r="AH9" s="9"/>
      <c r="AI9" s="9"/>
      <c r="AJ9" s="10"/>
    </row>
    <row r="10" spans="1:52" s="13" customFormat="1" x14ac:dyDescent="0.2">
      <c r="B10" s="104">
        <v>44986</v>
      </c>
      <c r="C10" s="7"/>
      <c r="D10" s="18" t="s">
        <v>26</v>
      </c>
      <c r="E10" s="19">
        <v>0</v>
      </c>
      <c r="F10" s="20">
        <v>0</v>
      </c>
      <c r="G10" s="20">
        <v>0</v>
      </c>
      <c r="H10" s="21">
        <v>0</v>
      </c>
      <c r="I10" s="19">
        <v>0</v>
      </c>
      <c r="J10" s="20">
        <v>0</v>
      </c>
      <c r="K10" s="20">
        <v>0</v>
      </c>
      <c r="L10" s="21">
        <v>0</v>
      </c>
      <c r="M10" s="19">
        <v>0</v>
      </c>
      <c r="N10" s="20">
        <v>0</v>
      </c>
      <c r="O10" s="20">
        <v>0</v>
      </c>
      <c r="P10" s="21">
        <v>0</v>
      </c>
      <c r="Q10" s="19">
        <v>0</v>
      </c>
      <c r="R10" s="20">
        <v>0</v>
      </c>
      <c r="S10" s="20">
        <v>0</v>
      </c>
      <c r="T10" s="21">
        <v>0</v>
      </c>
      <c r="U10" s="19">
        <v>0</v>
      </c>
      <c r="V10" s="20">
        <v>0</v>
      </c>
      <c r="W10" s="20"/>
      <c r="X10" s="21">
        <v>0</v>
      </c>
      <c r="Y10" s="19">
        <v>0</v>
      </c>
      <c r="Z10" s="20">
        <v>0</v>
      </c>
      <c r="AA10" s="20"/>
      <c r="AB10" s="21">
        <v>0</v>
      </c>
      <c r="AC10" s="19">
        <v>0</v>
      </c>
      <c r="AD10" s="20">
        <v>0</v>
      </c>
      <c r="AE10" s="20"/>
      <c r="AF10" s="21">
        <v>0</v>
      </c>
      <c r="AG10" s="19">
        <v>0</v>
      </c>
      <c r="AH10" s="20">
        <v>0</v>
      </c>
      <c r="AI10" s="20">
        <v>0</v>
      </c>
      <c r="AJ10" s="21">
        <v>0</v>
      </c>
    </row>
    <row r="11" spans="1:52" s="13" customFormat="1" x14ac:dyDescent="0.2">
      <c r="B11" s="104">
        <v>45017</v>
      </c>
      <c r="C11" s="7"/>
      <c r="D11" s="18" t="s">
        <v>27</v>
      </c>
      <c r="E11" s="19">
        <v>0</v>
      </c>
      <c r="F11" s="20">
        <v>0</v>
      </c>
      <c r="G11" s="20">
        <v>0</v>
      </c>
      <c r="H11" s="21">
        <v>0</v>
      </c>
      <c r="I11" s="19">
        <v>0</v>
      </c>
      <c r="J11" s="20">
        <v>0</v>
      </c>
      <c r="K11" s="20">
        <v>0</v>
      </c>
      <c r="L11" s="21">
        <v>0</v>
      </c>
      <c r="M11" s="19">
        <v>0</v>
      </c>
      <c r="N11" s="20">
        <v>0</v>
      </c>
      <c r="O11" s="20">
        <v>0</v>
      </c>
      <c r="P11" s="21">
        <v>0</v>
      </c>
      <c r="Q11" s="19">
        <v>0</v>
      </c>
      <c r="R11" s="20">
        <v>0</v>
      </c>
      <c r="S11" s="20">
        <v>0</v>
      </c>
      <c r="T11" s="21">
        <v>0</v>
      </c>
      <c r="U11" s="19">
        <v>0</v>
      </c>
      <c r="V11" s="20">
        <v>0</v>
      </c>
      <c r="W11" s="20"/>
      <c r="X11" s="21">
        <v>0</v>
      </c>
      <c r="Y11" s="19">
        <v>0</v>
      </c>
      <c r="Z11" s="20">
        <v>0</v>
      </c>
      <c r="AA11" s="20"/>
      <c r="AB11" s="21">
        <v>0</v>
      </c>
      <c r="AC11" s="19">
        <v>0</v>
      </c>
      <c r="AD11" s="20">
        <v>0</v>
      </c>
      <c r="AE11" s="20"/>
      <c r="AF11" s="21">
        <v>0</v>
      </c>
      <c r="AG11" s="19">
        <v>0</v>
      </c>
      <c r="AH11" s="20">
        <v>0</v>
      </c>
      <c r="AI11" s="20">
        <v>0</v>
      </c>
      <c r="AJ11" s="21">
        <v>0</v>
      </c>
    </row>
    <row r="12" spans="1:52" s="13" customFormat="1" x14ac:dyDescent="0.2">
      <c r="B12" s="104">
        <v>45047</v>
      </c>
      <c r="C12" s="7"/>
      <c r="D12" s="18"/>
      <c r="E12" s="19"/>
      <c r="F12" s="20"/>
      <c r="G12" s="20"/>
      <c r="H12" s="21"/>
      <c r="I12" s="19"/>
      <c r="J12" s="20"/>
      <c r="K12" s="20"/>
      <c r="L12" s="21"/>
      <c r="M12" s="19"/>
      <c r="N12" s="20"/>
      <c r="O12" s="20"/>
      <c r="P12" s="21"/>
      <c r="Q12" s="19"/>
      <c r="R12" s="20"/>
      <c r="S12" s="20"/>
      <c r="T12" s="21"/>
      <c r="U12" s="19"/>
      <c r="V12" s="20"/>
      <c r="W12" s="20"/>
      <c r="X12" s="21"/>
      <c r="Y12" s="19"/>
      <c r="Z12" s="20"/>
      <c r="AA12" s="20"/>
      <c r="AB12" s="21"/>
      <c r="AC12" s="19"/>
      <c r="AD12" s="20"/>
      <c r="AE12" s="20"/>
      <c r="AF12" s="21"/>
      <c r="AG12" s="19"/>
      <c r="AH12" s="20"/>
      <c r="AI12" s="20"/>
      <c r="AJ12" s="21"/>
    </row>
    <row r="13" spans="1:52" s="13" customFormat="1" x14ac:dyDescent="0.2">
      <c r="B13" s="104">
        <v>45078</v>
      </c>
      <c r="C13" s="7"/>
      <c r="D13" s="18"/>
      <c r="E13" s="19"/>
      <c r="F13" s="20"/>
      <c r="G13" s="20"/>
      <c r="H13" s="21"/>
      <c r="I13" s="19"/>
      <c r="J13" s="20"/>
      <c r="K13" s="20"/>
      <c r="L13" s="21"/>
      <c r="M13" s="19"/>
      <c r="N13" s="20"/>
      <c r="O13" s="20"/>
      <c r="P13" s="21"/>
      <c r="Q13" s="19"/>
      <c r="R13" s="20"/>
      <c r="S13" s="20"/>
      <c r="T13" s="21"/>
      <c r="U13" s="19"/>
      <c r="V13" s="20"/>
      <c r="W13" s="20"/>
      <c r="X13" s="21"/>
      <c r="Y13" s="19"/>
      <c r="Z13" s="20"/>
      <c r="AA13" s="20"/>
      <c r="AB13" s="21"/>
      <c r="AC13" s="19"/>
      <c r="AD13" s="20"/>
      <c r="AE13" s="20"/>
      <c r="AF13" s="21"/>
      <c r="AG13" s="19"/>
      <c r="AH13" s="20"/>
      <c r="AI13" s="20"/>
      <c r="AJ13" s="21"/>
    </row>
    <row r="14" spans="1:52" s="13" customFormat="1" x14ac:dyDescent="0.2">
      <c r="B14" s="104">
        <v>45108</v>
      </c>
      <c r="C14" s="7"/>
      <c r="D14" s="18"/>
      <c r="E14" s="19"/>
      <c r="F14" s="20"/>
      <c r="G14" s="20"/>
      <c r="H14" s="21"/>
      <c r="I14" s="19"/>
      <c r="J14" s="20"/>
      <c r="K14" s="20"/>
      <c r="L14" s="21"/>
      <c r="M14" s="19"/>
      <c r="N14" s="20"/>
      <c r="O14" s="20"/>
      <c r="P14" s="21"/>
      <c r="Q14" s="19"/>
      <c r="R14" s="20"/>
      <c r="S14" s="20"/>
      <c r="T14" s="21"/>
      <c r="U14" s="19"/>
      <c r="V14" s="20"/>
      <c r="W14" s="20"/>
      <c r="X14" s="21"/>
      <c r="Y14" s="19"/>
      <c r="Z14" s="20"/>
      <c r="AA14" s="20"/>
      <c r="AB14" s="21"/>
      <c r="AC14" s="19"/>
      <c r="AD14" s="20"/>
      <c r="AE14" s="20"/>
      <c r="AF14" s="21"/>
      <c r="AG14" s="19"/>
      <c r="AH14" s="20"/>
      <c r="AI14" s="20"/>
      <c r="AJ14" s="21"/>
    </row>
    <row r="15" spans="1:52" s="13" customFormat="1" x14ac:dyDescent="0.2">
      <c r="B15" s="104"/>
      <c r="C15" s="7"/>
      <c r="D15" s="18"/>
      <c r="E15" s="19"/>
      <c r="F15" s="20"/>
      <c r="G15" s="20"/>
      <c r="H15" s="21"/>
      <c r="I15" s="19"/>
      <c r="J15" s="20"/>
      <c r="K15" s="20"/>
      <c r="L15" s="21"/>
      <c r="M15" s="19"/>
      <c r="N15" s="20"/>
      <c r="O15" s="20"/>
      <c r="P15" s="21"/>
      <c r="Q15" s="19"/>
      <c r="R15" s="20"/>
      <c r="S15" s="20"/>
      <c r="T15" s="21"/>
      <c r="U15" s="19"/>
      <c r="V15" s="20"/>
      <c r="W15" s="20"/>
      <c r="X15" s="21"/>
      <c r="Y15" s="19"/>
      <c r="Z15" s="20"/>
      <c r="AA15" s="20"/>
      <c r="AB15" s="21"/>
      <c r="AC15" s="19"/>
      <c r="AD15" s="20"/>
      <c r="AE15" s="20"/>
      <c r="AF15" s="21"/>
      <c r="AG15" s="19"/>
      <c r="AH15" s="20"/>
      <c r="AI15" s="20"/>
      <c r="AJ15" s="21"/>
    </row>
    <row r="16" spans="1:52" s="13" customFormat="1" x14ac:dyDescent="0.2">
      <c r="B16" s="91"/>
      <c r="C16" s="7"/>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row>
    <row r="17" spans="1:52" s="13" customFormat="1" x14ac:dyDescent="0.2">
      <c r="B17" s="91"/>
      <c r="C17" s="7"/>
      <c r="D17" s="15" t="s">
        <v>40</v>
      </c>
      <c r="E17" s="305" t="s">
        <v>41</v>
      </c>
      <c r="F17" s="306"/>
      <c r="G17" s="306"/>
      <c r="H17" s="307"/>
      <c r="I17" s="305" t="s">
        <v>42</v>
      </c>
      <c r="J17" s="306"/>
      <c r="K17" s="306"/>
      <c r="L17" s="307"/>
      <c r="M17" s="308" t="s">
        <v>108</v>
      </c>
      <c r="N17" s="308"/>
      <c r="O17" s="308"/>
      <c r="P17" s="308"/>
      <c r="Q17" s="308" t="s">
        <v>43</v>
      </c>
      <c r="R17" s="308"/>
      <c r="S17" s="308"/>
      <c r="T17" s="308"/>
      <c r="U17" s="308" t="s">
        <v>44</v>
      </c>
      <c r="V17" s="308"/>
      <c r="W17" s="308"/>
      <c r="X17" s="308"/>
      <c r="Y17" s="308" t="s">
        <v>45</v>
      </c>
      <c r="Z17" s="308"/>
      <c r="AA17" s="308"/>
      <c r="AB17" s="308"/>
      <c r="AC17" s="305" t="s">
        <v>103</v>
      </c>
      <c r="AD17" s="306"/>
      <c r="AE17" s="306"/>
      <c r="AF17" s="307"/>
      <c r="AG17" s="305" t="s">
        <v>104</v>
      </c>
      <c r="AH17" s="306"/>
      <c r="AI17" s="306"/>
      <c r="AJ17" s="307"/>
      <c r="AK17" s="308" t="s">
        <v>105</v>
      </c>
      <c r="AL17" s="308"/>
      <c r="AM17" s="308"/>
      <c r="AN17" s="308"/>
      <c r="AO17" s="308" t="s">
        <v>109</v>
      </c>
      <c r="AP17" s="308"/>
      <c r="AQ17" s="308"/>
      <c r="AR17" s="308"/>
      <c r="AS17" s="308" t="s">
        <v>110</v>
      </c>
      <c r="AT17" s="308"/>
      <c r="AU17" s="308"/>
      <c r="AV17" s="308"/>
      <c r="AW17" s="308" t="s">
        <v>111</v>
      </c>
      <c r="AX17" s="308"/>
      <c r="AY17" s="308"/>
      <c r="AZ17" s="308"/>
    </row>
    <row r="18" spans="1:52" s="13" customFormat="1" x14ac:dyDescent="0.2">
      <c r="B18" s="91"/>
      <c r="C18" s="7"/>
      <c r="D18" s="1" t="s">
        <v>64</v>
      </c>
      <c r="E18" s="92"/>
      <c r="F18" s="22"/>
      <c r="G18" s="22"/>
      <c r="H18" s="93"/>
      <c r="I18" s="92"/>
      <c r="J18" s="22"/>
      <c r="K18" s="22"/>
      <c r="L18" s="93"/>
      <c r="M18" s="92"/>
      <c r="N18" s="22"/>
      <c r="O18" s="22"/>
      <c r="P18" s="93"/>
      <c r="Q18" s="92"/>
      <c r="R18" s="22"/>
      <c r="S18" s="22"/>
      <c r="T18" s="93"/>
      <c r="U18" s="92"/>
      <c r="V18" s="22"/>
      <c r="W18" s="22"/>
      <c r="X18" s="93"/>
      <c r="Y18" s="92"/>
      <c r="Z18" s="22"/>
      <c r="AA18" s="22"/>
      <c r="AB18" s="93"/>
      <c r="AC18" s="172">
        <v>4.43</v>
      </c>
      <c r="AD18" s="173">
        <v>8.8800000000000008</v>
      </c>
      <c r="AE18" s="173">
        <v>6.77</v>
      </c>
      <c r="AF18" s="174">
        <v>12.88</v>
      </c>
      <c r="AG18" s="172">
        <v>5.1100000000000003</v>
      </c>
      <c r="AH18" s="173">
        <v>10.210000000000001</v>
      </c>
      <c r="AI18" s="173">
        <v>7.79</v>
      </c>
      <c r="AJ18" s="174">
        <v>14.81</v>
      </c>
      <c r="AK18" s="172">
        <v>2.81</v>
      </c>
      <c r="AL18" s="173">
        <v>5.66</v>
      </c>
      <c r="AM18" s="173">
        <v>4.37</v>
      </c>
      <c r="AN18" s="174">
        <v>8.19</v>
      </c>
      <c r="AO18" s="172">
        <v>3.24</v>
      </c>
      <c r="AP18" s="173">
        <v>6.51</v>
      </c>
      <c r="AQ18" s="173">
        <v>4.99</v>
      </c>
      <c r="AR18" s="174">
        <v>9.42</v>
      </c>
      <c r="AS18" s="172">
        <v>2.42</v>
      </c>
      <c r="AT18" s="173">
        <v>4.79</v>
      </c>
      <c r="AU18" s="173">
        <v>3.72</v>
      </c>
      <c r="AV18" s="174">
        <v>6.97</v>
      </c>
      <c r="AW18" s="172">
        <v>2.79</v>
      </c>
      <c r="AX18" s="173">
        <v>5.59</v>
      </c>
      <c r="AY18" s="173">
        <v>4.3099999999999996</v>
      </c>
      <c r="AZ18" s="174">
        <v>8.09</v>
      </c>
    </row>
    <row r="19" spans="1:52" s="13" customFormat="1" x14ac:dyDescent="0.2">
      <c r="B19" s="91"/>
      <c r="C19" s="7"/>
      <c r="D19" s="1" t="s">
        <v>49</v>
      </c>
      <c r="E19" s="92"/>
      <c r="F19" s="22"/>
      <c r="G19" s="22"/>
      <c r="H19" s="93"/>
      <c r="I19" s="92"/>
      <c r="J19" s="22"/>
      <c r="K19" s="22"/>
      <c r="L19" s="93"/>
      <c r="M19" s="92"/>
      <c r="N19" s="22"/>
      <c r="O19" s="22"/>
      <c r="P19" s="93"/>
      <c r="Q19" s="92"/>
      <c r="R19" s="22"/>
      <c r="S19" s="22"/>
      <c r="T19" s="93"/>
      <c r="U19" s="92"/>
      <c r="V19" s="22"/>
      <c r="W19" s="22"/>
      <c r="X19" s="93"/>
      <c r="Y19" s="92"/>
      <c r="Z19" s="22"/>
      <c r="AA19" s="22"/>
      <c r="AB19" s="93"/>
      <c r="AC19" s="172">
        <v>4.83</v>
      </c>
      <c r="AD19" s="173">
        <v>9.65</v>
      </c>
      <c r="AE19" s="173">
        <v>7.36</v>
      </c>
      <c r="AF19" s="174">
        <v>14.01</v>
      </c>
      <c r="AG19" s="172">
        <v>5.55</v>
      </c>
      <c r="AH19" s="173">
        <v>11.11</v>
      </c>
      <c r="AI19" s="173">
        <v>8.4600000000000009</v>
      </c>
      <c r="AJ19" s="174">
        <v>16.100000000000001</v>
      </c>
      <c r="AK19" s="172">
        <v>3.06</v>
      </c>
      <c r="AL19" s="173">
        <v>6.16</v>
      </c>
      <c r="AM19" s="173">
        <v>4.75</v>
      </c>
      <c r="AN19" s="174">
        <v>8.9</v>
      </c>
      <c r="AO19" s="172">
        <v>3.53</v>
      </c>
      <c r="AP19" s="173">
        <v>7.07</v>
      </c>
      <c r="AQ19" s="173">
        <v>5.44</v>
      </c>
      <c r="AR19" s="174">
        <v>10.24</v>
      </c>
      <c r="AS19" s="172">
        <v>2.62</v>
      </c>
      <c r="AT19" s="173">
        <v>5.22</v>
      </c>
      <c r="AU19" s="173">
        <v>4.03</v>
      </c>
      <c r="AV19" s="174">
        <v>7.58</v>
      </c>
      <c r="AW19" s="172">
        <v>3.04</v>
      </c>
      <c r="AX19" s="173">
        <v>6.07</v>
      </c>
      <c r="AY19" s="173">
        <v>4.6900000000000004</v>
      </c>
      <c r="AZ19" s="174">
        <v>8.8000000000000007</v>
      </c>
    </row>
    <row r="20" spans="1:52" s="13" customFormat="1" x14ac:dyDescent="0.2">
      <c r="B20" s="91"/>
      <c r="C20" s="7"/>
      <c r="D20" s="1" t="s">
        <v>65</v>
      </c>
      <c r="E20" s="92"/>
      <c r="F20" s="22"/>
      <c r="G20" s="22"/>
      <c r="H20" s="93"/>
      <c r="I20" s="92"/>
      <c r="J20" s="22"/>
      <c r="K20" s="22"/>
      <c r="L20" s="93"/>
      <c r="M20" s="135"/>
      <c r="N20" s="136"/>
      <c r="O20" s="136"/>
      <c r="P20" s="137"/>
      <c r="Q20" s="135"/>
      <c r="R20" s="136"/>
      <c r="S20" s="136"/>
      <c r="T20" s="137"/>
      <c r="U20" s="135"/>
      <c r="V20" s="136"/>
      <c r="W20" s="136"/>
      <c r="X20" s="137"/>
      <c r="Y20" s="135"/>
      <c r="Z20" s="136"/>
      <c r="AA20" s="136"/>
      <c r="AB20" s="137"/>
      <c r="AC20" s="135">
        <v>9.84</v>
      </c>
      <c r="AD20" s="136">
        <v>19.66</v>
      </c>
      <c r="AE20" s="136">
        <v>14.74</v>
      </c>
      <c r="AF20" s="137">
        <v>28.54</v>
      </c>
      <c r="AG20" s="135">
        <v>10.75</v>
      </c>
      <c r="AH20" s="136">
        <v>21.5</v>
      </c>
      <c r="AI20" s="136">
        <v>16.100000000000001</v>
      </c>
      <c r="AJ20" s="137">
        <v>31.24</v>
      </c>
      <c r="AK20" s="135">
        <v>6.05</v>
      </c>
      <c r="AL20" s="136">
        <v>12.12</v>
      </c>
      <c r="AM20" s="136">
        <v>9.11</v>
      </c>
      <c r="AN20" s="137">
        <v>17.62</v>
      </c>
      <c r="AO20" s="135">
        <v>6.6</v>
      </c>
      <c r="AP20" s="136">
        <v>13.3</v>
      </c>
      <c r="AQ20" s="136">
        <v>9.91</v>
      </c>
      <c r="AR20" s="137">
        <v>19.25</v>
      </c>
      <c r="AS20" s="135">
        <v>5.08</v>
      </c>
      <c r="AT20" s="136">
        <v>10.14</v>
      </c>
      <c r="AU20" s="136">
        <v>7.6</v>
      </c>
      <c r="AV20" s="137">
        <v>14.72</v>
      </c>
      <c r="AW20" s="135">
        <v>5.57</v>
      </c>
      <c r="AX20" s="136">
        <v>11.06</v>
      </c>
      <c r="AY20" s="136">
        <v>8.33</v>
      </c>
      <c r="AZ20" s="137">
        <v>16.07</v>
      </c>
    </row>
    <row r="21" spans="1:52" s="13" customFormat="1" x14ac:dyDescent="0.2">
      <c r="B21" s="95"/>
      <c r="C21" s="7"/>
      <c r="D21" s="1" t="s">
        <v>50</v>
      </c>
      <c r="E21" s="92"/>
      <c r="F21" s="22"/>
      <c r="G21" s="22"/>
      <c r="H21" s="93"/>
      <c r="I21" s="92"/>
      <c r="J21" s="22"/>
      <c r="K21" s="22"/>
      <c r="L21" s="93"/>
      <c r="M21" s="135"/>
      <c r="N21" s="136"/>
      <c r="O21" s="136"/>
      <c r="P21" s="137"/>
      <c r="Q21" s="135"/>
      <c r="R21" s="136"/>
      <c r="S21" s="136"/>
      <c r="T21" s="137"/>
      <c r="U21" s="135"/>
      <c r="V21" s="136"/>
      <c r="W21" s="136"/>
      <c r="X21" s="137"/>
      <c r="Y21" s="135"/>
      <c r="Z21" s="136"/>
      <c r="AA21" s="136"/>
      <c r="AB21" s="137"/>
      <c r="AC21" s="135">
        <v>10.9</v>
      </c>
      <c r="AD21" s="136">
        <v>21.77</v>
      </c>
      <c r="AE21" s="136">
        <v>16.329999999999998</v>
      </c>
      <c r="AF21" s="137">
        <v>31.62</v>
      </c>
      <c r="AG21" s="135">
        <v>12.44</v>
      </c>
      <c r="AH21" s="136">
        <v>24.84</v>
      </c>
      <c r="AI21" s="136">
        <v>18.62</v>
      </c>
      <c r="AJ21" s="137">
        <v>36.11</v>
      </c>
      <c r="AK21" s="135">
        <v>6.71</v>
      </c>
      <c r="AL21" s="136">
        <v>13.42</v>
      </c>
      <c r="AM21" s="136">
        <v>10.1</v>
      </c>
      <c r="AN21" s="137">
        <v>19.489999999999998</v>
      </c>
      <c r="AO21" s="135">
        <v>7.69</v>
      </c>
      <c r="AP21" s="136">
        <v>15.39</v>
      </c>
      <c r="AQ21" s="136">
        <v>11.51</v>
      </c>
      <c r="AR21" s="137">
        <v>22.27</v>
      </c>
      <c r="AS21" s="135">
        <v>5.62</v>
      </c>
      <c r="AT21" s="136">
        <v>11.24</v>
      </c>
      <c r="AU21" s="136">
        <v>8.42</v>
      </c>
      <c r="AV21" s="137">
        <v>16.29</v>
      </c>
      <c r="AW21" s="135">
        <v>6.45</v>
      </c>
      <c r="AX21" s="136">
        <v>12.79</v>
      </c>
      <c r="AY21" s="136">
        <v>9.6</v>
      </c>
      <c r="AZ21" s="137">
        <v>18.55</v>
      </c>
    </row>
    <row r="22" spans="1:52" s="13" customFormat="1" x14ac:dyDescent="0.2">
      <c r="B22" s="95"/>
      <c r="C22" s="7"/>
      <c r="D22" s="1" t="s">
        <v>66</v>
      </c>
      <c r="E22" s="92"/>
      <c r="F22" s="22"/>
      <c r="G22" s="22"/>
      <c r="H22" s="93"/>
      <c r="I22" s="92"/>
      <c r="J22" s="22"/>
      <c r="K22" s="22"/>
      <c r="L22" s="93"/>
      <c r="M22" s="92"/>
      <c r="N22" s="22"/>
      <c r="O22" s="22"/>
      <c r="P22" s="93"/>
      <c r="Q22" s="92"/>
      <c r="R22" s="22"/>
      <c r="S22" s="22"/>
      <c r="T22" s="93"/>
      <c r="U22" s="92"/>
      <c r="V22" s="22"/>
      <c r="W22" s="22"/>
      <c r="X22" s="93"/>
      <c r="Y22" s="92"/>
      <c r="Z22" s="22"/>
      <c r="AA22" s="22"/>
      <c r="AB22" s="93"/>
      <c r="AC22" s="172">
        <v>8.5</v>
      </c>
      <c r="AD22" s="173">
        <v>16.97</v>
      </c>
      <c r="AE22" s="173">
        <v>12.85</v>
      </c>
      <c r="AF22" s="174">
        <v>24.61</v>
      </c>
      <c r="AG22" s="172">
        <v>9.58</v>
      </c>
      <c r="AH22" s="173">
        <v>19.13</v>
      </c>
      <c r="AI22" s="173">
        <v>14.47</v>
      </c>
      <c r="AJ22" s="174">
        <v>27.73</v>
      </c>
      <c r="AK22" s="172">
        <v>5.31</v>
      </c>
      <c r="AL22" s="173">
        <v>10.64</v>
      </c>
      <c r="AM22" s="173">
        <v>8.11</v>
      </c>
      <c r="AN22" s="174">
        <v>15.42</v>
      </c>
      <c r="AO22" s="172">
        <v>6</v>
      </c>
      <c r="AP22" s="173">
        <v>12.03</v>
      </c>
      <c r="AQ22" s="173">
        <v>9.1199999999999992</v>
      </c>
      <c r="AR22" s="174">
        <v>17.41</v>
      </c>
      <c r="AS22" s="172">
        <v>4.49</v>
      </c>
      <c r="AT22" s="173">
        <v>8.9600000000000009</v>
      </c>
      <c r="AU22" s="173">
        <v>6.84</v>
      </c>
      <c r="AV22" s="174">
        <v>13.02</v>
      </c>
      <c r="AW22" s="172">
        <v>5.09</v>
      </c>
      <c r="AX22" s="173">
        <v>10.17</v>
      </c>
      <c r="AY22" s="173">
        <v>7.75</v>
      </c>
      <c r="AZ22" s="174">
        <v>14.72</v>
      </c>
    </row>
    <row r="23" spans="1:52" s="13" customFormat="1" x14ac:dyDescent="0.2">
      <c r="A23" s="1"/>
      <c r="B23" s="95"/>
      <c r="C23" s="7"/>
      <c r="D23" s="1" t="s">
        <v>51</v>
      </c>
      <c r="E23" s="92"/>
      <c r="F23" s="22"/>
      <c r="G23" s="22"/>
      <c r="H23" s="93"/>
      <c r="I23" s="92"/>
      <c r="J23" s="22"/>
      <c r="K23" s="22"/>
      <c r="L23" s="93"/>
      <c r="M23" s="92"/>
      <c r="N23" s="22"/>
      <c r="O23" s="22"/>
      <c r="P23" s="93"/>
      <c r="Q23" s="92"/>
      <c r="R23" s="22"/>
      <c r="S23" s="22"/>
      <c r="T23" s="93"/>
      <c r="U23" s="92"/>
      <c r="V23" s="22"/>
      <c r="W23" s="22"/>
      <c r="X23" s="93"/>
      <c r="Y23" s="92"/>
      <c r="Z23" s="22"/>
      <c r="AA23" s="22"/>
      <c r="AB23" s="93"/>
      <c r="AC23" s="172">
        <v>9.81</v>
      </c>
      <c r="AD23" s="173">
        <v>19.63</v>
      </c>
      <c r="AE23" s="173">
        <v>14.83</v>
      </c>
      <c r="AF23" s="174">
        <v>28.46</v>
      </c>
      <c r="AG23" s="172">
        <v>11.3</v>
      </c>
      <c r="AH23" s="173">
        <v>22.57</v>
      </c>
      <c r="AI23" s="173">
        <v>17.03</v>
      </c>
      <c r="AJ23" s="174">
        <v>32.71</v>
      </c>
      <c r="AK23" s="172">
        <v>6.11</v>
      </c>
      <c r="AL23" s="173">
        <v>12.25</v>
      </c>
      <c r="AM23" s="173">
        <v>9.32</v>
      </c>
      <c r="AN23" s="174">
        <v>17.79</v>
      </c>
      <c r="AO23" s="172">
        <v>7.07</v>
      </c>
      <c r="AP23" s="173">
        <v>14.16</v>
      </c>
      <c r="AQ23" s="173">
        <v>10.71</v>
      </c>
      <c r="AR23" s="174">
        <v>20.49</v>
      </c>
      <c r="AS23" s="172">
        <v>5.15</v>
      </c>
      <c r="AT23" s="173">
        <v>10.34</v>
      </c>
      <c r="AU23" s="173">
        <v>7.86</v>
      </c>
      <c r="AV23" s="174">
        <v>14.97</v>
      </c>
      <c r="AW23" s="172">
        <v>5.99</v>
      </c>
      <c r="AX23" s="173">
        <v>11.94</v>
      </c>
      <c r="AY23" s="173">
        <v>9.06</v>
      </c>
      <c r="AZ23" s="174">
        <v>17.28</v>
      </c>
    </row>
    <row r="24" spans="1:52" s="13" customFormat="1" x14ac:dyDescent="0.2">
      <c r="C24" s="7"/>
      <c r="D24" s="1"/>
      <c r="E24" s="92"/>
      <c r="F24" s="22"/>
      <c r="G24" s="22"/>
      <c r="H24" s="93"/>
      <c r="I24" s="92"/>
      <c r="J24" s="22"/>
      <c r="K24" s="22"/>
      <c r="L24" s="93"/>
      <c r="M24" s="92"/>
      <c r="N24" s="22"/>
      <c r="O24" s="22"/>
      <c r="P24" s="93"/>
      <c r="Q24" s="92"/>
      <c r="R24" s="22"/>
      <c r="S24" s="22"/>
      <c r="T24" s="93"/>
      <c r="U24" s="92"/>
      <c r="V24" s="22"/>
      <c r="W24" s="22"/>
      <c r="X24" s="93"/>
      <c r="Y24" s="92"/>
      <c r="Z24" s="22"/>
      <c r="AA24" s="22"/>
      <c r="AB24" s="93"/>
      <c r="AC24" s="92"/>
      <c r="AD24" s="22"/>
      <c r="AE24" s="22"/>
      <c r="AF24" s="93"/>
      <c r="AG24" s="92"/>
      <c r="AH24" s="22"/>
      <c r="AI24" s="22"/>
      <c r="AJ24" s="93"/>
      <c r="AK24" s="92"/>
      <c r="AL24" s="22"/>
      <c r="AM24" s="22"/>
      <c r="AN24" s="93"/>
      <c r="AO24" s="92"/>
      <c r="AP24" s="22"/>
      <c r="AQ24" s="22"/>
      <c r="AR24" s="93"/>
      <c r="AS24" s="92"/>
      <c r="AT24" s="22"/>
      <c r="AU24" s="22"/>
      <c r="AV24" s="93"/>
      <c r="AW24" s="92"/>
      <c r="AX24" s="22"/>
      <c r="AY24" s="22"/>
      <c r="AZ24" s="93"/>
    </row>
    <row r="25" spans="1:52" s="13" customFormat="1" x14ac:dyDescent="0.2">
      <c r="C25" s="7"/>
      <c r="D25" s="1" t="s">
        <v>67</v>
      </c>
      <c r="E25" s="92"/>
      <c r="F25" s="22"/>
      <c r="G25" s="22"/>
      <c r="H25" s="93"/>
      <c r="I25" s="92"/>
      <c r="J25" s="22"/>
      <c r="K25" s="22"/>
      <c r="L25" s="93"/>
      <c r="M25" s="92"/>
      <c r="N25" s="22"/>
      <c r="O25" s="22"/>
      <c r="P25" s="93"/>
      <c r="Q25" s="92"/>
      <c r="R25" s="22"/>
      <c r="S25" s="22"/>
      <c r="T25" s="93"/>
      <c r="U25" s="92"/>
      <c r="V25" s="22"/>
      <c r="W25" s="22"/>
      <c r="X25" s="93"/>
      <c r="Y25" s="92"/>
      <c r="Z25" s="22"/>
      <c r="AA25" s="22"/>
      <c r="AB25" s="93"/>
      <c r="AC25" s="172">
        <v>4.21</v>
      </c>
      <c r="AD25" s="173">
        <v>8.44</v>
      </c>
      <c r="AE25" s="173">
        <v>6.42</v>
      </c>
      <c r="AF25" s="174">
        <v>12.23</v>
      </c>
      <c r="AG25" s="172">
        <v>4.8600000000000003</v>
      </c>
      <c r="AH25" s="173">
        <v>9.68</v>
      </c>
      <c r="AI25" s="173">
        <v>7.39</v>
      </c>
      <c r="AJ25" s="174">
        <v>14.05</v>
      </c>
      <c r="AK25" s="172">
        <v>2.69</v>
      </c>
      <c r="AL25" s="173">
        <v>5.37</v>
      </c>
      <c r="AM25" s="173">
        <v>4.1500000000000004</v>
      </c>
      <c r="AN25" s="174">
        <v>7.77</v>
      </c>
      <c r="AO25" s="172">
        <v>3.09</v>
      </c>
      <c r="AP25" s="173">
        <v>6.17</v>
      </c>
      <c r="AQ25" s="173">
        <v>4.7300000000000004</v>
      </c>
      <c r="AR25" s="174">
        <v>8.9499999999999993</v>
      </c>
      <c r="AS25" s="172">
        <v>2.27</v>
      </c>
      <c r="AT25" s="173">
        <v>4.57</v>
      </c>
      <c r="AU25" s="173">
        <v>3.53</v>
      </c>
      <c r="AV25" s="174">
        <v>6.61</v>
      </c>
      <c r="AW25" s="172">
        <v>2.64</v>
      </c>
      <c r="AX25" s="173">
        <v>5.3</v>
      </c>
      <c r="AY25" s="173">
        <v>4.08</v>
      </c>
      <c r="AZ25" s="174">
        <v>7.67</v>
      </c>
    </row>
    <row r="26" spans="1:52" s="13" customFormat="1" x14ac:dyDescent="0.2">
      <c r="A26" s="171"/>
      <c r="C26" s="7"/>
      <c r="D26" s="1" t="s">
        <v>52</v>
      </c>
      <c r="E26" s="92"/>
      <c r="F26" s="22"/>
      <c r="G26" s="22"/>
      <c r="H26" s="93"/>
      <c r="I26" s="92"/>
      <c r="J26" s="22"/>
      <c r="K26" s="22"/>
      <c r="L26" s="93"/>
      <c r="M26" s="92"/>
      <c r="N26" s="22"/>
      <c r="O26" s="22"/>
      <c r="P26" s="93"/>
      <c r="Q26" s="92"/>
      <c r="R26" s="22"/>
      <c r="S26" s="22"/>
      <c r="T26" s="93"/>
      <c r="U26" s="92"/>
      <c r="V26" s="22"/>
      <c r="W26" s="22"/>
      <c r="X26" s="93"/>
      <c r="Y26" s="92"/>
      <c r="Z26" s="22"/>
      <c r="AA26" s="22"/>
      <c r="AB26" s="93"/>
      <c r="AC26" s="172">
        <v>4.58</v>
      </c>
      <c r="AD26" s="173">
        <v>9.18</v>
      </c>
      <c r="AE26" s="173">
        <v>6.98</v>
      </c>
      <c r="AF26" s="174">
        <v>13.28</v>
      </c>
      <c r="AG26" s="172">
        <v>5.28</v>
      </c>
      <c r="AH26" s="173">
        <v>10.54</v>
      </c>
      <c r="AI26" s="173">
        <v>8.0500000000000007</v>
      </c>
      <c r="AJ26" s="174">
        <v>15.27</v>
      </c>
      <c r="AK26" s="172">
        <v>2.92</v>
      </c>
      <c r="AL26" s="173">
        <v>5.84</v>
      </c>
      <c r="AM26" s="173">
        <v>4.5199999999999996</v>
      </c>
      <c r="AN26" s="174">
        <v>8.4499999999999993</v>
      </c>
      <c r="AO26" s="172">
        <v>3.36</v>
      </c>
      <c r="AP26" s="173">
        <v>6.7</v>
      </c>
      <c r="AQ26" s="173">
        <v>5.15</v>
      </c>
      <c r="AR26" s="174">
        <v>9.73</v>
      </c>
      <c r="AS26" s="172">
        <v>2.4700000000000002</v>
      </c>
      <c r="AT26" s="173">
        <v>4.96</v>
      </c>
      <c r="AU26" s="173">
        <v>3.83</v>
      </c>
      <c r="AV26" s="174">
        <v>7.19</v>
      </c>
      <c r="AW26" s="172">
        <v>2.88</v>
      </c>
      <c r="AX26" s="173">
        <v>5.76</v>
      </c>
      <c r="AY26" s="173">
        <v>4.42</v>
      </c>
      <c r="AZ26" s="174">
        <v>8.34</v>
      </c>
    </row>
    <row r="27" spans="1:52" s="13" customFormat="1" x14ac:dyDescent="0.2">
      <c r="A27" s="171"/>
      <c r="C27" s="7"/>
      <c r="D27" s="1" t="s">
        <v>68</v>
      </c>
      <c r="E27" s="92"/>
      <c r="F27" s="22"/>
      <c r="G27" s="22"/>
      <c r="H27" s="93"/>
      <c r="I27" s="92"/>
      <c r="J27" s="22"/>
      <c r="K27" s="22"/>
      <c r="L27" s="93"/>
      <c r="M27" s="135"/>
      <c r="N27" s="136"/>
      <c r="O27" s="136"/>
      <c r="P27" s="137"/>
      <c r="Q27" s="135"/>
      <c r="R27" s="136"/>
      <c r="S27" s="136"/>
      <c r="T27" s="137"/>
      <c r="U27" s="135"/>
      <c r="V27" s="136"/>
      <c r="W27" s="136"/>
      <c r="X27" s="137"/>
      <c r="Y27" s="135"/>
      <c r="Z27" s="136"/>
      <c r="AA27" s="136"/>
      <c r="AB27" s="137"/>
      <c r="AC27" s="135">
        <v>8.65</v>
      </c>
      <c r="AD27" s="136">
        <v>17.260000000000002</v>
      </c>
      <c r="AE27" s="136">
        <v>12.94</v>
      </c>
      <c r="AF27" s="137">
        <v>25.06</v>
      </c>
      <c r="AG27" s="135">
        <v>9.1300000000000008</v>
      </c>
      <c r="AH27" s="136">
        <v>18.239999999999998</v>
      </c>
      <c r="AI27" s="136">
        <v>13.65</v>
      </c>
      <c r="AJ27" s="137">
        <v>26.5</v>
      </c>
      <c r="AK27" s="135">
        <v>5.3</v>
      </c>
      <c r="AL27" s="136">
        <v>10.64</v>
      </c>
      <c r="AM27" s="136">
        <v>8</v>
      </c>
      <c r="AN27" s="137">
        <v>15.45</v>
      </c>
      <c r="AO27" s="135">
        <v>5.59</v>
      </c>
      <c r="AP27" s="136">
        <v>11.26</v>
      </c>
      <c r="AQ27" s="136">
        <v>8.4</v>
      </c>
      <c r="AR27" s="137">
        <v>16.309999999999999</v>
      </c>
      <c r="AS27" s="135">
        <v>4.46</v>
      </c>
      <c r="AT27" s="136">
        <v>8.89</v>
      </c>
      <c r="AU27" s="136">
        <v>6.65</v>
      </c>
      <c r="AV27" s="137">
        <v>12.91</v>
      </c>
      <c r="AW27" s="135">
        <v>4.71</v>
      </c>
      <c r="AX27" s="136">
        <v>9.35</v>
      </c>
      <c r="AY27" s="136">
        <v>7.05</v>
      </c>
      <c r="AZ27" s="137">
        <v>13.6</v>
      </c>
    </row>
    <row r="28" spans="1:52" s="13" customFormat="1" x14ac:dyDescent="0.2">
      <c r="A28" s="171"/>
      <c r="C28" s="7"/>
      <c r="D28" s="1" t="s">
        <v>53</v>
      </c>
      <c r="E28" s="92"/>
      <c r="F28" s="22"/>
      <c r="G28" s="22"/>
      <c r="H28" s="93"/>
      <c r="I28" s="92"/>
      <c r="J28" s="22"/>
      <c r="K28" s="22"/>
      <c r="L28" s="93"/>
      <c r="M28" s="135"/>
      <c r="N28" s="136"/>
      <c r="O28" s="136"/>
      <c r="P28" s="137"/>
      <c r="Q28" s="135"/>
      <c r="R28" s="136"/>
      <c r="S28" s="136"/>
      <c r="T28" s="137"/>
      <c r="U28" s="135"/>
      <c r="V28" s="136"/>
      <c r="W28" s="136"/>
      <c r="X28" s="137"/>
      <c r="Y28" s="135"/>
      <c r="Z28" s="136"/>
      <c r="AA28" s="136"/>
      <c r="AB28" s="137"/>
      <c r="AC28" s="135">
        <v>9.09</v>
      </c>
      <c r="AD28" s="136">
        <v>18.16</v>
      </c>
      <c r="AE28" s="136">
        <v>13.61</v>
      </c>
      <c r="AF28" s="137">
        <v>26.37</v>
      </c>
      <c r="AG28" s="135">
        <v>10.39</v>
      </c>
      <c r="AH28" s="136">
        <v>20.71</v>
      </c>
      <c r="AI28" s="136">
        <v>15.53</v>
      </c>
      <c r="AJ28" s="137">
        <v>30.12</v>
      </c>
      <c r="AK28" s="135">
        <v>5.59</v>
      </c>
      <c r="AL28" s="136">
        <v>11.19</v>
      </c>
      <c r="AM28" s="136">
        <v>8.42</v>
      </c>
      <c r="AN28" s="137">
        <v>16.25</v>
      </c>
      <c r="AO28" s="135">
        <v>6.41</v>
      </c>
      <c r="AP28" s="136">
        <v>12.83</v>
      </c>
      <c r="AQ28" s="136">
        <v>9.59</v>
      </c>
      <c r="AR28" s="137">
        <v>18.559999999999999</v>
      </c>
      <c r="AS28" s="135">
        <v>4.6900000000000004</v>
      </c>
      <c r="AT28" s="136">
        <v>9.36</v>
      </c>
      <c r="AU28" s="136">
        <v>7.01</v>
      </c>
      <c r="AV28" s="137">
        <v>13.58</v>
      </c>
      <c r="AW28" s="135">
        <v>5.37</v>
      </c>
      <c r="AX28" s="136">
        <v>10.65</v>
      </c>
      <c r="AY28" s="136">
        <v>8</v>
      </c>
      <c r="AZ28" s="137">
        <v>15.45</v>
      </c>
    </row>
    <row r="29" spans="1:52" s="13" customFormat="1" x14ac:dyDescent="0.2">
      <c r="A29" s="171"/>
      <c r="C29" s="7"/>
      <c r="D29" s="1" t="s">
        <v>69</v>
      </c>
      <c r="E29" s="92"/>
      <c r="F29" s="22"/>
      <c r="G29" s="22"/>
      <c r="H29" s="93"/>
      <c r="I29" s="92"/>
      <c r="J29" s="22"/>
      <c r="K29" s="22"/>
      <c r="L29" s="93"/>
      <c r="M29" s="92"/>
      <c r="N29" s="22"/>
      <c r="O29" s="22"/>
      <c r="P29" s="93"/>
      <c r="Q29" s="92"/>
      <c r="R29" s="22"/>
      <c r="S29" s="22"/>
      <c r="T29" s="93"/>
      <c r="U29" s="92"/>
      <c r="V29" s="22"/>
      <c r="W29" s="22"/>
      <c r="X29" s="93"/>
      <c r="Y29" s="92"/>
      <c r="Z29" s="22"/>
      <c r="AA29" s="22"/>
      <c r="AB29" s="93"/>
      <c r="AC29" s="172">
        <v>7.62</v>
      </c>
      <c r="AD29" s="173">
        <v>15.24</v>
      </c>
      <c r="AE29" s="173">
        <v>11.53</v>
      </c>
      <c r="AF29" s="174">
        <v>22.1</v>
      </c>
      <c r="AG29" s="172">
        <v>8.49</v>
      </c>
      <c r="AH29" s="173">
        <v>16.95</v>
      </c>
      <c r="AI29" s="173">
        <v>12.8</v>
      </c>
      <c r="AJ29" s="174">
        <v>24.56</v>
      </c>
      <c r="AK29" s="172">
        <v>4.76</v>
      </c>
      <c r="AL29" s="173">
        <v>9.57</v>
      </c>
      <c r="AM29" s="173">
        <v>7.29</v>
      </c>
      <c r="AN29" s="174">
        <v>13.85</v>
      </c>
      <c r="AO29" s="172">
        <v>5.31</v>
      </c>
      <c r="AP29" s="173">
        <v>10.64</v>
      </c>
      <c r="AQ29" s="173">
        <v>8.09</v>
      </c>
      <c r="AR29" s="174">
        <v>15.4</v>
      </c>
      <c r="AS29" s="172">
        <v>4.01</v>
      </c>
      <c r="AT29" s="173">
        <v>8.06</v>
      </c>
      <c r="AU29" s="173">
        <v>6.13</v>
      </c>
      <c r="AV29" s="174">
        <v>11.68</v>
      </c>
      <c r="AW29" s="172">
        <v>4.5</v>
      </c>
      <c r="AX29" s="173">
        <v>9.01</v>
      </c>
      <c r="AY29" s="173">
        <v>6.86</v>
      </c>
      <c r="AZ29" s="174">
        <v>13.04</v>
      </c>
    </row>
    <row r="30" spans="1:52" s="13" customFormat="1" x14ac:dyDescent="0.2">
      <c r="A30" s="171"/>
      <c r="C30" s="7"/>
      <c r="D30" s="1" t="s">
        <v>54</v>
      </c>
      <c r="E30" s="92"/>
      <c r="F30" s="22"/>
      <c r="G30" s="22"/>
      <c r="H30" s="93"/>
      <c r="I30" s="92"/>
      <c r="J30" s="22"/>
      <c r="K30" s="22"/>
      <c r="L30" s="93"/>
      <c r="M30" s="92"/>
      <c r="N30" s="22"/>
      <c r="O30" s="22"/>
      <c r="P30" s="93"/>
      <c r="Q30" s="92"/>
      <c r="R30" s="22"/>
      <c r="S30" s="22"/>
      <c r="T30" s="93"/>
      <c r="U30" s="92"/>
      <c r="V30" s="22"/>
      <c r="W30" s="22"/>
      <c r="X30" s="93"/>
      <c r="Y30" s="92"/>
      <c r="Z30" s="22"/>
      <c r="AA30" s="22"/>
      <c r="AB30" s="93"/>
      <c r="AC30" s="172">
        <v>8.68</v>
      </c>
      <c r="AD30" s="173">
        <v>17.38</v>
      </c>
      <c r="AE30" s="173">
        <v>13.12</v>
      </c>
      <c r="AF30" s="174">
        <v>25.2</v>
      </c>
      <c r="AG30" s="172">
        <v>10</v>
      </c>
      <c r="AH30" s="173">
        <v>19.989999999999998</v>
      </c>
      <c r="AI30" s="173">
        <v>15.08</v>
      </c>
      <c r="AJ30" s="174">
        <v>28.96</v>
      </c>
      <c r="AK30" s="172">
        <v>5.42</v>
      </c>
      <c r="AL30" s="173">
        <v>10.85</v>
      </c>
      <c r="AM30" s="173">
        <v>8.26</v>
      </c>
      <c r="AN30" s="174">
        <v>15.75</v>
      </c>
      <c r="AO30" s="172">
        <v>6.27</v>
      </c>
      <c r="AP30" s="173">
        <v>12.52</v>
      </c>
      <c r="AQ30" s="173">
        <v>9.49</v>
      </c>
      <c r="AR30" s="174">
        <v>18.14</v>
      </c>
      <c r="AS30" s="172">
        <v>4.57</v>
      </c>
      <c r="AT30" s="173">
        <v>9.14</v>
      </c>
      <c r="AU30" s="173">
        <v>6.97</v>
      </c>
      <c r="AV30" s="174">
        <v>13.25</v>
      </c>
      <c r="AW30" s="172">
        <v>5.29</v>
      </c>
      <c r="AX30" s="173">
        <v>10.58</v>
      </c>
      <c r="AY30" s="173">
        <v>8.0299999999999994</v>
      </c>
      <c r="AZ30" s="174">
        <v>15.3</v>
      </c>
    </row>
    <row r="31" spans="1:52" s="13" customFormat="1" x14ac:dyDescent="0.2">
      <c r="A31" s="171"/>
      <c r="C31" s="7"/>
      <c r="D31" s="1"/>
      <c r="E31" s="8"/>
      <c r="F31" s="9"/>
      <c r="G31" s="9"/>
      <c r="H31" s="10"/>
      <c r="I31" s="8"/>
      <c r="J31" s="9"/>
      <c r="K31" s="9"/>
      <c r="L31" s="10"/>
      <c r="M31" s="8"/>
      <c r="N31" s="9"/>
      <c r="O31" s="9"/>
      <c r="P31" s="10"/>
      <c r="Q31" s="8"/>
      <c r="R31" s="9"/>
      <c r="S31" s="9"/>
      <c r="T31" s="10"/>
      <c r="U31" s="8"/>
      <c r="V31" s="9"/>
      <c r="W31" s="9"/>
      <c r="X31" s="10"/>
      <c r="Y31" s="8"/>
      <c r="Z31" s="9"/>
      <c r="AA31" s="9"/>
      <c r="AB31" s="10"/>
      <c r="AC31" s="8"/>
      <c r="AD31" s="9"/>
      <c r="AE31" s="9"/>
      <c r="AF31" s="10"/>
      <c r="AG31" s="8"/>
      <c r="AH31" s="9"/>
      <c r="AI31" s="9"/>
      <c r="AJ31" s="10"/>
      <c r="AK31" s="8"/>
      <c r="AL31" s="9"/>
      <c r="AM31" s="9"/>
      <c r="AN31" s="10"/>
      <c r="AO31" s="8"/>
      <c r="AP31" s="9"/>
      <c r="AQ31" s="9"/>
      <c r="AR31" s="10"/>
      <c r="AS31" s="8"/>
      <c r="AT31" s="9"/>
      <c r="AU31" s="9"/>
      <c r="AV31" s="10"/>
      <c r="AW31" s="8"/>
      <c r="AX31" s="9"/>
      <c r="AY31" s="9"/>
      <c r="AZ31" s="10"/>
    </row>
    <row r="32" spans="1:52" s="13" customFormat="1" x14ac:dyDescent="0.2">
      <c r="A32" s="171"/>
      <c r="C32" s="7"/>
      <c r="D32" s="1"/>
      <c r="E32" s="8"/>
      <c r="F32" s="9"/>
      <c r="G32" s="9"/>
      <c r="H32" s="10"/>
      <c r="I32" s="8"/>
      <c r="J32" s="9"/>
      <c r="K32" s="9"/>
      <c r="L32" s="10"/>
      <c r="M32" s="8"/>
      <c r="N32" s="9"/>
      <c r="O32" s="9"/>
      <c r="P32" s="10"/>
      <c r="Q32" s="8"/>
      <c r="R32" s="9"/>
      <c r="S32" s="9"/>
      <c r="T32" s="10"/>
      <c r="U32" s="8"/>
      <c r="V32" s="9"/>
      <c r="W32" s="9"/>
      <c r="X32" s="10"/>
      <c r="Y32" s="8"/>
      <c r="Z32" s="9"/>
      <c r="AA32" s="9"/>
      <c r="AB32" s="10"/>
      <c r="AC32" s="8"/>
      <c r="AD32" s="9"/>
      <c r="AE32" s="9"/>
      <c r="AF32" s="10"/>
      <c r="AG32" s="8"/>
      <c r="AH32" s="9"/>
      <c r="AI32" s="9"/>
      <c r="AJ32" s="10"/>
      <c r="AK32" s="8"/>
      <c r="AL32" s="9"/>
      <c r="AM32" s="9"/>
      <c r="AN32" s="10"/>
      <c r="AO32" s="8"/>
      <c r="AP32" s="9"/>
      <c r="AQ32" s="9"/>
      <c r="AR32" s="10"/>
      <c r="AS32" s="8"/>
      <c r="AT32" s="9"/>
      <c r="AU32" s="9"/>
      <c r="AV32" s="10"/>
      <c r="AW32" s="8"/>
      <c r="AX32" s="9"/>
      <c r="AY32" s="9"/>
      <c r="AZ32" s="10"/>
    </row>
    <row r="33" spans="1:56" s="13" customFormat="1" x14ac:dyDescent="0.2">
      <c r="C33" s="7"/>
      <c r="D33" s="18" t="s">
        <v>46</v>
      </c>
      <c r="E33" s="19">
        <v>0</v>
      </c>
      <c r="F33" s="20">
        <v>0</v>
      </c>
      <c r="G33" s="20">
        <v>0</v>
      </c>
      <c r="H33" s="21">
        <v>0</v>
      </c>
      <c r="I33" s="19">
        <v>0</v>
      </c>
      <c r="J33" s="20">
        <v>0</v>
      </c>
      <c r="K33" s="20">
        <v>0</v>
      </c>
      <c r="L33" s="21">
        <v>0</v>
      </c>
      <c r="M33" s="19">
        <v>0</v>
      </c>
      <c r="N33" s="20">
        <v>0</v>
      </c>
      <c r="O33" s="20">
        <v>0</v>
      </c>
      <c r="P33" s="21">
        <v>0</v>
      </c>
      <c r="Q33" s="19">
        <v>0</v>
      </c>
      <c r="R33" s="20">
        <v>0</v>
      </c>
      <c r="S33" s="20">
        <v>0</v>
      </c>
      <c r="T33" s="21">
        <v>0</v>
      </c>
      <c r="U33" s="19">
        <v>0</v>
      </c>
      <c r="V33" s="20">
        <v>0</v>
      </c>
      <c r="W33" s="20">
        <v>0</v>
      </c>
      <c r="X33" s="21">
        <v>0</v>
      </c>
      <c r="Y33" s="19">
        <v>0</v>
      </c>
      <c r="Z33" s="20">
        <v>0</v>
      </c>
      <c r="AA33" s="20">
        <v>0</v>
      </c>
      <c r="AB33" s="21">
        <v>0</v>
      </c>
      <c r="AC33" s="19">
        <v>0</v>
      </c>
      <c r="AD33" s="20">
        <v>0</v>
      </c>
      <c r="AE33" s="20">
        <v>0</v>
      </c>
      <c r="AF33" s="21">
        <v>0</v>
      </c>
      <c r="AG33" s="19">
        <v>0</v>
      </c>
      <c r="AH33" s="20">
        <v>0</v>
      </c>
      <c r="AI33" s="20">
        <v>0</v>
      </c>
      <c r="AJ33" s="21">
        <v>0</v>
      </c>
      <c r="AK33" s="19">
        <v>0</v>
      </c>
      <c r="AL33" s="20">
        <v>0</v>
      </c>
      <c r="AM33" s="20">
        <v>0</v>
      </c>
      <c r="AN33" s="21">
        <v>0</v>
      </c>
      <c r="AO33" s="19">
        <v>0</v>
      </c>
      <c r="AP33" s="20">
        <v>0</v>
      </c>
      <c r="AQ33" s="20">
        <v>0</v>
      </c>
      <c r="AR33" s="21">
        <v>0</v>
      </c>
      <c r="AS33" s="19">
        <v>0</v>
      </c>
      <c r="AT33" s="20">
        <v>0</v>
      </c>
      <c r="AU33" s="20">
        <v>0</v>
      </c>
      <c r="AV33" s="21">
        <v>0</v>
      </c>
      <c r="AW33" s="19">
        <v>0</v>
      </c>
      <c r="AX33" s="20">
        <v>0</v>
      </c>
      <c r="AY33" s="20">
        <v>0</v>
      </c>
      <c r="AZ33" s="21">
        <v>0</v>
      </c>
    </row>
    <row r="34" spans="1:56" s="13" customFormat="1" x14ac:dyDescent="0.2">
      <c r="B34" s="17"/>
      <c r="C34" s="7"/>
      <c r="D34" s="18" t="s">
        <v>47</v>
      </c>
      <c r="E34" s="19">
        <v>0</v>
      </c>
      <c r="F34" s="20">
        <v>0</v>
      </c>
      <c r="G34" s="20">
        <v>0</v>
      </c>
      <c r="H34" s="21">
        <v>0</v>
      </c>
      <c r="I34" s="19">
        <v>0</v>
      </c>
      <c r="J34" s="20">
        <v>0</v>
      </c>
      <c r="K34" s="20">
        <v>0</v>
      </c>
      <c r="L34" s="21">
        <v>0</v>
      </c>
      <c r="M34" s="19">
        <v>0</v>
      </c>
      <c r="N34" s="20">
        <v>0</v>
      </c>
      <c r="O34" s="20">
        <v>0</v>
      </c>
      <c r="P34" s="21">
        <v>0</v>
      </c>
      <c r="Q34" s="19">
        <v>0</v>
      </c>
      <c r="R34" s="20">
        <v>0</v>
      </c>
      <c r="S34" s="20">
        <v>0</v>
      </c>
      <c r="T34" s="21">
        <v>0</v>
      </c>
      <c r="U34" s="19">
        <v>0</v>
      </c>
      <c r="V34" s="20">
        <v>0</v>
      </c>
      <c r="W34" s="20">
        <v>0</v>
      </c>
      <c r="X34" s="21">
        <v>0</v>
      </c>
      <c r="Y34" s="19">
        <v>0</v>
      </c>
      <c r="Z34" s="20">
        <v>0</v>
      </c>
      <c r="AA34" s="20">
        <v>0</v>
      </c>
      <c r="AB34" s="21">
        <v>0</v>
      </c>
      <c r="AC34" s="19">
        <v>0</v>
      </c>
      <c r="AD34" s="20">
        <v>0</v>
      </c>
      <c r="AE34" s="20">
        <v>0</v>
      </c>
      <c r="AF34" s="21">
        <v>0</v>
      </c>
      <c r="AG34" s="19">
        <v>0</v>
      </c>
      <c r="AH34" s="20">
        <v>0</v>
      </c>
      <c r="AI34" s="20">
        <v>0</v>
      </c>
      <c r="AJ34" s="21">
        <v>0</v>
      </c>
      <c r="AK34" s="19">
        <v>0</v>
      </c>
      <c r="AL34" s="20">
        <v>0</v>
      </c>
      <c r="AM34" s="20">
        <v>0</v>
      </c>
      <c r="AN34" s="21">
        <v>0</v>
      </c>
      <c r="AO34" s="19">
        <v>0</v>
      </c>
      <c r="AP34" s="20">
        <v>0</v>
      </c>
      <c r="AQ34" s="20">
        <v>0</v>
      </c>
      <c r="AR34" s="21">
        <v>0</v>
      </c>
      <c r="AS34" s="19">
        <v>0</v>
      </c>
      <c r="AT34" s="20">
        <v>0</v>
      </c>
      <c r="AU34" s="20">
        <v>0</v>
      </c>
      <c r="AV34" s="21">
        <v>0</v>
      </c>
      <c r="AW34" s="19">
        <v>0</v>
      </c>
      <c r="AX34" s="20">
        <v>0</v>
      </c>
      <c r="AY34" s="20">
        <v>0</v>
      </c>
      <c r="AZ34" s="21">
        <v>0</v>
      </c>
    </row>
    <row r="35" spans="1:56" s="13" customFormat="1" x14ac:dyDescent="0.2">
      <c r="C35" s="7"/>
      <c r="D35" s="18" t="s">
        <v>48</v>
      </c>
      <c r="E35" s="19">
        <v>0</v>
      </c>
      <c r="F35" s="20">
        <v>0</v>
      </c>
      <c r="G35" s="20">
        <v>0</v>
      </c>
      <c r="H35" s="21">
        <v>0</v>
      </c>
      <c r="I35" s="19">
        <v>0</v>
      </c>
      <c r="J35" s="20">
        <v>0</v>
      </c>
      <c r="K35" s="20">
        <v>0</v>
      </c>
      <c r="L35" s="21">
        <v>0</v>
      </c>
      <c r="M35" s="19">
        <v>0</v>
      </c>
      <c r="N35" s="20">
        <v>0</v>
      </c>
      <c r="O35" s="20">
        <v>0</v>
      </c>
      <c r="P35" s="21">
        <v>0</v>
      </c>
      <c r="Q35" s="19">
        <v>0</v>
      </c>
      <c r="R35" s="20">
        <v>0</v>
      </c>
      <c r="S35" s="20">
        <v>0</v>
      </c>
      <c r="T35" s="21">
        <v>0</v>
      </c>
      <c r="U35" s="19">
        <v>0</v>
      </c>
      <c r="V35" s="20">
        <v>0</v>
      </c>
      <c r="W35" s="20">
        <v>0</v>
      </c>
      <c r="X35" s="21">
        <v>0</v>
      </c>
      <c r="Y35" s="19">
        <v>0</v>
      </c>
      <c r="Z35" s="20">
        <v>0</v>
      </c>
      <c r="AA35" s="20">
        <v>0</v>
      </c>
      <c r="AB35" s="21">
        <v>0</v>
      </c>
      <c r="AC35" s="19">
        <v>0</v>
      </c>
      <c r="AD35" s="20">
        <v>0</v>
      </c>
      <c r="AE35" s="20">
        <v>0</v>
      </c>
      <c r="AF35" s="21">
        <v>0</v>
      </c>
      <c r="AG35" s="19">
        <v>0</v>
      </c>
      <c r="AH35" s="20">
        <v>0</v>
      </c>
      <c r="AI35" s="20">
        <v>0</v>
      </c>
      <c r="AJ35" s="21">
        <v>0</v>
      </c>
      <c r="AK35" s="19">
        <v>0</v>
      </c>
      <c r="AL35" s="20">
        <v>0</v>
      </c>
      <c r="AM35" s="20">
        <v>0</v>
      </c>
      <c r="AN35" s="21">
        <v>0</v>
      </c>
      <c r="AO35" s="19">
        <v>0</v>
      </c>
      <c r="AP35" s="20">
        <v>0</v>
      </c>
      <c r="AQ35" s="20">
        <v>0</v>
      </c>
      <c r="AR35" s="21">
        <v>0</v>
      </c>
      <c r="AS35" s="19">
        <v>0</v>
      </c>
      <c r="AT35" s="20">
        <v>0</v>
      </c>
      <c r="AU35" s="20">
        <v>0</v>
      </c>
      <c r="AV35" s="21">
        <v>0</v>
      </c>
      <c r="AW35" s="19">
        <v>0</v>
      </c>
      <c r="AX35" s="20">
        <v>0</v>
      </c>
      <c r="AY35" s="20">
        <v>0</v>
      </c>
      <c r="AZ35" s="21">
        <v>0</v>
      </c>
    </row>
    <row r="36" spans="1:56" s="13" customFormat="1" x14ac:dyDescent="0.2">
      <c r="C36" s="7"/>
      <c r="D36" s="18" t="s">
        <v>55</v>
      </c>
      <c r="E36" s="19">
        <v>0</v>
      </c>
      <c r="F36" s="20">
        <v>0</v>
      </c>
      <c r="G36" s="20">
        <v>0</v>
      </c>
      <c r="H36" s="21">
        <v>0</v>
      </c>
      <c r="I36" s="19">
        <v>0</v>
      </c>
      <c r="J36" s="20">
        <v>0</v>
      </c>
      <c r="K36" s="20">
        <v>0</v>
      </c>
      <c r="L36" s="21">
        <v>0</v>
      </c>
      <c r="M36" s="19">
        <v>0</v>
      </c>
      <c r="N36" s="20">
        <v>0</v>
      </c>
      <c r="O36" s="20">
        <v>0</v>
      </c>
      <c r="P36" s="21">
        <v>0</v>
      </c>
      <c r="Q36" s="19">
        <v>0</v>
      </c>
      <c r="R36" s="20">
        <v>0</v>
      </c>
      <c r="S36" s="20">
        <v>0</v>
      </c>
      <c r="T36" s="21">
        <v>0</v>
      </c>
      <c r="U36" s="19">
        <v>0</v>
      </c>
      <c r="V36" s="20">
        <v>0</v>
      </c>
      <c r="W36" s="20">
        <v>0</v>
      </c>
      <c r="X36" s="21">
        <v>0</v>
      </c>
      <c r="Y36" s="19">
        <v>0</v>
      </c>
      <c r="Z36" s="20">
        <v>0</v>
      </c>
      <c r="AA36" s="20">
        <v>0</v>
      </c>
      <c r="AB36" s="21">
        <v>0</v>
      </c>
      <c r="AC36" s="19">
        <v>0</v>
      </c>
      <c r="AD36" s="20">
        <v>0</v>
      </c>
      <c r="AE36" s="20">
        <v>0</v>
      </c>
      <c r="AF36" s="21">
        <v>0</v>
      </c>
      <c r="AG36" s="19">
        <v>0</v>
      </c>
      <c r="AH36" s="20">
        <v>0</v>
      </c>
      <c r="AI36" s="20">
        <v>0</v>
      </c>
      <c r="AJ36" s="21">
        <v>0</v>
      </c>
      <c r="AK36" s="19">
        <v>0</v>
      </c>
      <c r="AL36" s="20">
        <v>0</v>
      </c>
      <c r="AM36" s="20">
        <v>0</v>
      </c>
      <c r="AN36" s="21">
        <v>0</v>
      </c>
      <c r="AO36" s="19">
        <v>0</v>
      </c>
      <c r="AP36" s="20">
        <v>0</v>
      </c>
      <c r="AQ36" s="20">
        <v>0</v>
      </c>
      <c r="AR36" s="21">
        <v>0</v>
      </c>
      <c r="AS36" s="19">
        <v>0</v>
      </c>
      <c r="AT36" s="20">
        <v>0</v>
      </c>
      <c r="AU36" s="20">
        <v>0</v>
      </c>
      <c r="AV36" s="21">
        <v>0</v>
      </c>
      <c r="AW36" s="19">
        <v>0</v>
      </c>
      <c r="AX36" s="20">
        <v>0</v>
      </c>
      <c r="AY36" s="20">
        <v>0</v>
      </c>
      <c r="AZ36" s="21">
        <v>0</v>
      </c>
    </row>
    <row r="37" spans="1:56" s="13" customFormat="1" x14ac:dyDescent="0.2">
      <c r="C37" s="7"/>
      <c r="D37" s="18" t="s">
        <v>56</v>
      </c>
      <c r="E37" s="19">
        <v>0</v>
      </c>
      <c r="F37" s="20">
        <v>0</v>
      </c>
      <c r="G37" s="20">
        <v>0</v>
      </c>
      <c r="H37" s="21">
        <v>0</v>
      </c>
      <c r="I37" s="19">
        <v>0</v>
      </c>
      <c r="J37" s="20">
        <v>0</v>
      </c>
      <c r="K37" s="20">
        <v>0</v>
      </c>
      <c r="L37" s="21">
        <v>0</v>
      </c>
      <c r="M37" s="19">
        <v>0</v>
      </c>
      <c r="N37" s="20">
        <v>0</v>
      </c>
      <c r="O37" s="20">
        <v>0</v>
      </c>
      <c r="P37" s="21">
        <v>0</v>
      </c>
      <c r="Q37" s="19">
        <v>0</v>
      </c>
      <c r="R37" s="20">
        <v>0</v>
      </c>
      <c r="S37" s="20">
        <v>0</v>
      </c>
      <c r="T37" s="21">
        <v>0</v>
      </c>
      <c r="U37" s="19">
        <v>0</v>
      </c>
      <c r="V37" s="20">
        <v>0</v>
      </c>
      <c r="W37" s="20">
        <v>0</v>
      </c>
      <c r="X37" s="21">
        <v>0</v>
      </c>
      <c r="Y37" s="19">
        <v>0</v>
      </c>
      <c r="Z37" s="20">
        <v>0</v>
      </c>
      <c r="AA37" s="20">
        <v>0</v>
      </c>
      <c r="AB37" s="21">
        <v>0</v>
      </c>
      <c r="AC37" s="19">
        <v>0</v>
      </c>
      <c r="AD37" s="20">
        <v>0</v>
      </c>
      <c r="AE37" s="20">
        <v>0</v>
      </c>
      <c r="AF37" s="21">
        <v>0</v>
      </c>
      <c r="AG37" s="19">
        <v>0</v>
      </c>
      <c r="AH37" s="20">
        <v>0</v>
      </c>
      <c r="AI37" s="20">
        <v>0</v>
      </c>
      <c r="AJ37" s="21">
        <v>0</v>
      </c>
      <c r="AK37" s="19">
        <v>0</v>
      </c>
      <c r="AL37" s="20">
        <v>0</v>
      </c>
      <c r="AM37" s="20">
        <v>0</v>
      </c>
      <c r="AN37" s="21">
        <v>0</v>
      </c>
      <c r="AO37" s="19">
        <v>0</v>
      </c>
      <c r="AP37" s="20">
        <v>0</v>
      </c>
      <c r="AQ37" s="20">
        <v>0</v>
      </c>
      <c r="AR37" s="21">
        <v>0</v>
      </c>
      <c r="AS37" s="19">
        <v>0</v>
      </c>
      <c r="AT37" s="20">
        <v>0</v>
      </c>
      <c r="AU37" s="20">
        <v>0</v>
      </c>
      <c r="AV37" s="21">
        <v>0</v>
      </c>
      <c r="AW37" s="19">
        <v>0</v>
      </c>
      <c r="AX37" s="20">
        <v>0</v>
      </c>
      <c r="AY37" s="20">
        <v>0</v>
      </c>
      <c r="AZ37" s="21">
        <v>0</v>
      </c>
    </row>
    <row r="38" spans="1:56" s="13" customFormat="1" x14ac:dyDescent="0.2">
      <c r="C38" s="7"/>
      <c r="D38" s="18" t="s">
        <v>57</v>
      </c>
      <c r="E38" s="19">
        <v>0</v>
      </c>
      <c r="F38" s="20">
        <v>0</v>
      </c>
      <c r="G38" s="20">
        <v>0</v>
      </c>
      <c r="H38" s="21">
        <v>0</v>
      </c>
      <c r="I38" s="19">
        <v>0</v>
      </c>
      <c r="J38" s="20">
        <v>0</v>
      </c>
      <c r="K38" s="20">
        <v>0</v>
      </c>
      <c r="L38" s="21">
        <v>0</v>
      </c>
      <c r="M38" s="19">
        <v>0</v>
      </c>
      <c r="N38" s="20">
        <v>0</v>
      </c>
      <c r="O38" s="20">
        <v>0</v>
      </c>
      <c r="P38" s="21">
        <v>0</v>
      </c>
      <c r="Q38" s="19">
        <v>0</v>
      </c>
      <c r="R38" s="20">
        <v>0</v>
      </c>
      <c r="S38" s="20">
        <v>0</v>
      </c>
      <c r="T38" s="21">
        <v>0</v>
      </c>
      <c r="U38" s="19">
        <v>0</v>
      </c>
      <c r="V38" s="20">
        <v>0</v>
      </c>
      <c r="W38" s="20">
        <v>0</v>
      </c>
      <c r="X38" s="21">
        <v>0</v>
      </c>
      <c r="Y38" s="19">
        <v>0</v>
      </c>
      <c r="Z38" s="20">
        <v>0</v>
      </c>
      <c r="AA38" s="20">
        <v>0</v>
      </c>
      <c r="AB38" s="21">
        <v>0</v>
      </c>
      <c r="AC38" s="19">
        <v>0</v>
      </c>
      <c r="AD38" s="20">
        <v>0</v>
      </c>
      <c r="AE38" s="20">
        <v>0</v>
      </c>
      <c r="AF38" s="21">
        <v>0</v>
      </c>
      <c r="AG38" s="19">
        <v>0</v>
      </c>
      <c r="AH38" s="20">
        <v>0</v>
      </c>
      <c r="AI38" s="20">
        <v>0</v>
      </c>
      <c r="AJ38" s="21">
        <v>0</v>
      </c>
      <c r="AK38" s="19">
        <v>0</v>
      </c>
      <c r="AL38" s="20">
        <v>0</v>
      </c>
      <c r="AM38" s="20">
        <v>0</v>
      </c>
      <c r="AN38" s="21">
        <v>0</v>
      </c>
      <c r="AO38" s="19">
        <v>0</v>
      </c>
      <c r="AP38" s="20">
        <v>0</v>
      </c>
      <c r="AQ38" s="20">
        <v>0</v>
      </c>
      <c r="AR38" s="21">
        <v>0</v>
      </c>
      <c r="AS38" s="19">
        <v>0</v>
      </c>
      <c r="AT38" s="20">
        <v>0</v>
      </c>
      <c r="AU38" s="20">
        <v>0</v>
      </c>
      <c r="AV38" s="21">
        <v>0</v>
      </c>
      <c r="AW38" s="19">
        <v>0</v>
      </c>
      <c r="AX38" s="20">
        <v>0</v>
      </c>
      <c r="AY38" s="20">
        <v>0</v>
      </c>
      <c r="AZ38" s="21">
        <v>0</v>
      </c>
    </row>
    <row r="39" spans="1:56" s="13" customFormat="1" x14ac:dyDescent="0.2">
      <c r="B39" s="17"/>
      <c r="C39" s="7"/>
      <c r="D39" s="14"/>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14"/>
      <c r="AH39" s="14"/>
      <c r="AI39" s="14"/>
      <c r="AJ39" s="14"/>
      <c r="AK39" s="17"/>
      <c r="AL39" s="17"/>
      <c r="AM39" s="17"/>
      <c r="AN39" s="17"/>
      <c r="AO39" s="17"/>
      <c r="AP39" s="17"/>
      <c r="AQ39" s="17"/>
      <c r="AR39" s="17"/>
      <c r="AS39" s="17"/>
      <c r="AT39" s="17"/>
      <c r="AU39" s="17"/>
      <c r="AV39" s="17"/>
      <c r="AW39" s="17"/>
      <c r="AX39" s="17"/>
      <c r="AY39" s="17"/>
      <c r="AZ39" s="17"/>
      <c r="BA39" s="17"/>
      <c r="BB39" s="17"/>
      <c r="BC39" s="17"/>
      <c r="BD39" s="17"/>
    </row>
    <row r="40" spans="1:56" s="13" customFormat="1" x14ac:dyDescent="0.2">
      <c r="C40" s="7"/>
      <c r="M40" s="149">
        <v>10</v>
      </c>
      <c r="N40" s="149">
        <v>11</v>
      </c>
      <c r="O40" s="149">
        <v>12</v>
      </c>
      <c r="P40" s="149">
        <v>13</v>
      </c>
      <c r="Q40" s="149">
        <v>14</v>
      </c>
      <c r="R40" s="149">
        <v>15</v>
      </c>
      <c r="S40" s="149">
        <v>16</v>
      </c>
      <c r="T40" s="149">
        <v>17</v>
      </c>
      <c r="U40" s="149">
        <v>18</v>
      </c>
      <c r="V40" s="149">
        <v>19</v>
      </c>
      <c r="W40" s="149">
        <v>20</v>
      </c>
      <c r="X40" s="149">
        <v>21</v>
      </c>
      <c r="Y40" s="149">
        <v>22</v>
      </c>
      <c r="Z40" s="149">
        <v>23</v>
      </c>
      <c r="AA40" s="149">
        <v>24</v>
      </c>
      <c r="AB40" s="149">
        <v>25</v>
      </c>
      <c r="AC40" s="149">
        <v>26</v>
      </c>
      <c r="AD40" s="149">
        <v>27</v>
      </c>
      <c r="AG40" s="14"/>
      <c r="AH40" s="14"/>
      <c r="AI40" s="14"/>
      <c r="AJ40" s="14"/>
    </row>
    <row r="41" spans="1:56" s="13" customFormat="1" ht="15.75" x14ac:dyDescent="0.2">
      <c r="C41" s="7"/>
      <c r="M41" s="143" t="s">
        <v>83</v>
      </c>
      <c r="N41" s="144" t="s">
        <v>83</v>
      </c>
      <c r="O41" s="145" t="s">
        <v>83</v>
      </c>
      <c r="AE41" s="22"/>
      <c r="AF41" s="22"/>
      <c r="AG41" s="14"/>
      <c r="AH41" s="14"/>
      <c r="AI41" s="14"/>
      <c r="AJ41" s="14"/>
    </row>
    <row r="42" spans="1:56" s="13" customFormat="1" ht="16.5" thickBot="1" x14ac:dyDescent="0.25">
      <c r="C42" s="7"/>
      <c r="M42" s="146" t="s">
        <v>116</v>
      </c>
      <c r="N42" s="147" t="s">
        <v>117</v>
      </c>
      <c r="O42" s="148" t="s">
        <v>118</v>
      </c>
      <c r="AE42" s="22"/>
      <c r="AF42" s="22"/>
      <c r="AG42" s="14"/>
      <c r="AH42" s="14"/>
      <c r="AI42" s="14"/>
      <c r="AJ42" s="14"/>
    </row>
    <row r="43" spans="1:56" s="13" customFormat="1" x14ac:dyDescent="0.2">
      <c r="A43" s="17"/>
      <c r="C43" s="7"/>
      <c r="D43" s="15" t="s">
        <v>92</v>
      </c>
      <c r="E43" s="22"/>
      <c r="F43" s="22"/>
      <c r="G43" s="22"/>
      <c r="H43" s="22"/>
      <c r="I43" s="22"/>
      <c r="J43" s="22"/>
      <c r="K43" s="22"/>
      <c r="L43" s="22"/>
      <c r="M43" s="309" t="s">
        <v>119</v>
      </c>
      <c r="N43" s="310"/>
      <c r="O43" s="311"/>
      <c r="P43" s="309" t="s">
        <v>94</v>
      </c>
      <c r="Q43" s="310"/>
      <c r="R43" s="311"/>
      <c r="S43" s="309" t="s">
        <v>95</v>
      </c>
      <c r="T43" s="310"/>
      <c r="U43" s="311"/>
      <c r="V43" s="309" t="s">
        <v>96</v>
      </c>
      <c r="W43" s="310"/>
      <c r="X43" s="311"/>
      <c r="Y43" s="309" t="s">
        <v>97</v>
      </c>
      <c r="Z43" s="310"/>
      <c r="AA43" s="311"/>
      <c r="AB43" s="309" t="s">
        <v>98</v>
      </c>
      <c r="AC43" s="310"/>
      <c r="AD43" s="311"/>
      <c r="AE43" s="22"/>
      <c r="AF43" s="22"/>
      <c r="AG43" s="14"/>
      <c r="AH43" s="14"/>
      <c r="AI43" s="14"/>
      <c r="AJ43" s="14"/>
    </row>
    <row r="44" spans="1:56" s="13" customFormat="1" x14ac:dyDescent="0.2">
      <c r="C44" s="7"/>
      <c r="D44" s="14" t="s">
        <v>113</v>
      </c>
      <c r="E44" s="22"/>
      <c r="F44" s="22"/>
      <c r="G44" s="22"/>
      <c r="H44" s="22"/>
      <c r="I44" s="22"/>
      <c r="J44" s="22"/>
      <c r="K44" s="22"/>
      <c r="L44" s="22"/>
      <c r="M44" s="173">
        <v>27.05</v>
      </c>
      <c r="N44" s="173">
        <v>51.4</v>
      </c>
      <c r="O44" s="173">
        <v>78.45</v>
      </c>
      <c r="P44" s="173">
        <v>41.21</v>
      </c>
      <c r="Q44" s="173">
        <v>78.3</v>
      </c>
      <c r="R44" s="173">
        <v>119.51</v>
      </c>
      <c r="S44" s="173">
        <v>54.1</v>
      </c>
      <c r="T44" s="173">
        <v>102.77</v>
      </c>
      <c r="U44" s="173">
        <v>156.87</v>
      </c>
      <c r="V44" s="22">
        <v>0</v>
      </c>
      <c r="W44" s="22">
        <v>0</v>
      </c>
      <c r="X44" s="22">
        <v>0</v>
      </c>
      <c r="Y44" s="22">
        <v>0</v>
      </c>
      <c r="Z44" s="22">
        <v>0</v>
      </c>
      <c r="AA44" s="22">
        <v>0</v>
      </c>
      <c r="AB44" s="22">
        <v>0</v>
      </c>
      <c r="AC44" s="22">
        <v>0</v>
      </c>
      <c r="AD44" s="22">
        <v>0</v>
      </c>
      <c r="AE44" s="22"/>
      <c r="AF44" s="22"/>
      <c r="AG44" s="14"/>
      <c r="AH44" s="14"/>
      <c r="AI44" s="14"/>
      <c r="AJ44" s="14"/>
      <c r="AK44" s="17"/>
      <c r="AL44" s="17"/>
      <c r="AM44" s="17"/>
      <c r="AN44" s="17"/>
      <c r="AO44" s="17"/>
      <c r="AP44" s="17"/>
      <c r="AQ44" s="17"/>
      <c r="AR44" s="17"/>
      <c r="AS44" s="17"/>
      <c r="AT44" s="17"/>
      <c r="AU44" s="17"/>
      <c r="AV44" s="17"/>
      <c r="AW44" s="17"/>
      <c r="AX44" s="17"/>
      <c r="AY44" s="17"/>
      <c r="AZ44" s="17"/>
      <c r="BA44" s="17"/>
      <c r="BB44" s="17"/>
      <c r="BC44" s="17"/>
      <c r="BD44" s="17"/>
    </row>
    <row r="45" spans="1:56" s="13" customFormat="1" x14ac:dyDescent="0.2">
      <c r="C45" s="7"/>
      <c r="D45" s="14" t="s">
        <v>114</v>
      </c>
      <c r="E45" s="22"/>
      <c r="F45" s="22"/>
      <c r="G45" s="22"/>
      <c r="H45" s="22"/>
      <c r="I45" s="22"/>
      <c r="J45" s="22"/>
      <c r="K45" s="22"/>
      <c r="L45" s="22"/>
      <c r="M45" s="173">
        <v>15.45</v>
      </c>
      <c r="N45" s="173">
        <v>29.37</v>
      </c>
      <c r="O45" s="173">
        <v>44.82</v>
      </c>
      <c r="P45" s="173">
        <v>20.61</v>
      </c>
      <c r="Q45" s="173">
        <v>39.15</v>
      </c>
      <c r="R45" s="173">
        <v>59.76</v>
      </c>
      <c r="S45" s="173">
        <v>25.76</v>
      </c>
      <c r="T45" s="173">
        <v>48.95</v>
      </c>
      <c r="U45" s="173">
        <v>74.7</v>
      </c>
      <c r="V45" s="22">
        <v>0</v>
      </c>
      <c r="W45" s="22">
        <v>0</v>
      </c>
      <c r="X45" s="22">
        <v>0</v>
      </c>
      <c r="Y45" s="22">
        <v>0</v>
      </c>
      <c r="Z45" s="22">
        <v>0</v>
      </c>
      <c r="AA45" s="22">
        <v>0</v>
      </c>
      <c r="AB45" s="22">
        <v>0</v>
      </c>
      <c r="AC45" s="22">
        <v>0</v>
      </c>
      <c r="AD45" s="22">
        <v>0</v>
      </c>
      <c r="AE45" s="22"/>
      <c r="AF45" s="22"/>
      <c r="AG45" s="14"/>
      <c r="AH45" s="14"/>
      <c r="AI45" s="14"/>
      <c r="AJ45" s="14"/>
    </row>
    <row r="46" spans="1:56" s="13" customFormat="1" x14ac:dyDescent="0.2">
      <c r="C46" s="7"/>
      <c r="D46" s="14" t="s">
        <v>115</v>
      </c>
      <c r="E46" s="22"/>
      <c r="F46" s="22"/>
      <c r="G46" s="22"/>
      <c r="H46" s="22"/>
      <c r="I46" s="22"/>
      <c r="J46" s="22"/>
      <c r="K46" s="22"/>
      <c r="L46" s="22"/>
      <c r="M46" s="22">
        <v>0</v>
      </c>
      <c r="N46" s="22">
        <v>0</v>
      </c>
      <c r="O46" s="22">
        <v>0</v>
      </c>
      <c r="P46" s="22">
        <v>0</v>
      </c>
      <c r="Q46" s="22">
        <v>0</v>
      </c>
      <c r="R46" s="22">
        <v>0</v>
      </c>
      <c r="S46" s="22">
        <v>0</v>
      </c>
      <c r="T46" s="22">
        <v>0</v>
      </c>
      <c r="U46" s="22">
        <v>0</v>
      </c>
      <c r="V46" s="173">
        <v>36.06</v>
      </c>
      <c r="W46" s="173">
        <v>68.52</v>
      </c>
      <c r="X46" s="173">
        <v>104.58</v>
      </c>
      <c r="Y46" s="173">
        <v>54.1</v>
      </c>
      <c r="Z46" s="173">
        <v>102.77</v>
      </c>
      <c r="AA46" s="173">
        <v>156.87</v>
      </c>
      <c r="AB46" s="173">
        <v>72.12</v>
      </c>
      <c r="AC46" s="173">
        <v>137.03</v>
      </c>
      <c r="AD46" s="173">
        <v>209.15</v>
      </c>
      <c r="AE46" s="22"/>
      <c r="AF46" s="22"/>
      <c r="AG46" s="14"/>
      <c r="AH46" s="14"/>
      <c r="AI46" s="14"/>
      <c r="AJ46" s="14"/>
    </row>
    <row r="47" spans="1:56" s="17" customFormat="1" x14ac:dyDescent="0.2">
      <c r="A47" s="13"/>
      <c r="B47" s="13"/>
      <c r="C47" s="16"/>
      <c r="D47" s="14" t="s">
        <v>126</v>
      </c>
      <c r="E47" s="22"/>
      <c r="F47" s="22"/>
      <c r="G47" s="22"/>
      <c r="H47" s="22"/>
      <c r="I47" s="22"/>
      <c r="J47" s="22"/>
      <c r="K47" s="22"/>
      <c r="L47" s="22"/>
      <c r="M47" s="22">
        <v>0</v>
      </c>
      <c r="N47" s="22">
        <v>0</v>
      </c>
      <c r="O47" s="22">
        <v>0</v>
      </c>
      <c r="P47" s="22">
        <v>0</v>
      </c>
      <c r="Q47" s="22">
        <v>0</v>
      </c>
      <c r="R47" s="22">
        <v>0</v>
      </c>
      <c r="S47" s="22">
        <v>0</v>
      </c>
      <c r="T47" s="22">
        <v>0</v>
      </c>
      <c r="U47" s="22">
        <v>0</v>
      </c>
      <c r="V47" s="173">
        <v>23.19</v>
      </c>
      <c r="W47" s="173">
        <v>44.04</v>
      </c>
      <c r="X47" s="173">
        <v>67.23</v>
      </c>
      <c r="Y47" s="173">
        <v>34.78</v>
      </c>
      <c r="Z47" s="173">
        <v>66.09</v>
      </c>
      <c r="AA47" s="173">
        <v>100.86</v>
      </c>
      <c r="AB47" s="173">
        <v>47.66</v>
      </c>
      <c r="AC47" s="173">
        <v>90.55</v>
      </c>
      <c r="AD47" s="173">
        <v>138.21</v>
      </c>
      <c r="AE47" s="22"/>
      <c r="AF47" s="22"/>
      <c r="AG47" s="14"/>
      <c r="AH47" s="14"/>
      <c r="AI47" s="14"/>
      <c r="AJ47" s="14"/>
      <c r="AK47" s="13"/>
      <c r="AL47" s="13"/>
      <c r="AM47" s="13"/>
      <c r="AN47" s="13"/>
      <c r="AO47" s="13"/>
      <c r="AP47" s="13"/>
      <c r="AQ47" s="13"/>
      <c r="AR47" s="13"/>
      <c r="AS47" s="13"/>
      <c r="AT47" s="13"/>
      <c r="AU47" s="13"/>
      <c r="AV47" s="13"/>
      <c r="AW47" s="13"/>
      <c r="AX47" s="13"/>
      <c r="AY47" s="13"/>
      <c r="AZ47" s="13"/>
      <c r="BA47" s="13"/>
      <c r="BB47" s="13"/>
      <c r="BC47" s="13"/>
      <c r="BD47" s="13"/>
    </row>
    <row r="48" spans="1:56" s="13" customFormat="1" x14ac:dyDescent="0.2">
      <c r="A48" s="17"/>
      <c r="C48" s="7"/>
      <c r="D48" s="14" t="s">
        <v>99</v>
      </c>
      <c r="E48" s="22"/>
      <c r="F48" s="22"/>
      <c r="G48" s="22"/>
      <c r="H48" s="22"/>
      <c r="I48" s="22"/>
      <c r="J48" s="22"/>
      <c r="K48" s="22"/>
      <c r="L48" s="22"/>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c r="AF48" s="22"/>
      <c r="AG48" s="14"/>
      <c r="AH48" s="14"/>
      <c r="AI48" s="14"/>
      <c r="AJ48" s="14"/>
    </row>
    <row r="49" spans="1:56" s="13" customFormat="1" x14ac:dyDescent="0.2">
      <c r="C49" s="7"/>
      <c r="D49" s="14" t="s">
        <v>100</v>
      </c>
      <c r="E49" s="22"/>
      <c r="F49" s="22"/>
      <c r="G49" s="22"/>
      <c r="H49" s="22"/>
      <c r="I49" s="22"/>
      <c r="J49" s="22"/>
      <c r="K49" s="22"/>
      <c r="L49" s="22"/>
      <c r="M49" s="22">
        <v>0</v>
      </c>
      <c r="N49" s="22">
        <v>0</v>
      </c>
      <c r="O49" s="22">
        <v>0</v>
      </c>
      <c r="P49" s="22">
        <v>0</v>
      </c>
      <c r="Q49" s="22">
        <v>0</v>
      </c>
      <c r="R49" s="22">
        <v>0</v>
      </c>
      <c r="S49" s="22">
        <v>0</v>
      </c>
      <c r="T49" s="22">
        <v>0</v>
      </c>
      <c r="U49" s="22">
        <v>0</v>
      </c>
      <c r="V49" s="22">
        <v>0</v>
      </c>
      <c r="W49" s="22">
        <v>0</v>
      </c>
      <c r="X49" s="22">
        <v>0</v>
      </c>
      <c r="Y49" s="22">
        <v>0</v>
      </c>
      <c r="Z49" s="22">
        <v>0</v>
      </c>
      <c r="AA49" s="22">
        <v>0</v>
      </c>
      <c r="AB49" s="22">
        <v>0</v>
      </c>
      <c r="AC49" s="22">
        <v>0</v>
      </c>
      <c r="AD49" s="22">
        <v>0</v>
      </c>
      <c r="AE49" s="22"/>
      <c r="AF49" s="22"/>
      <c r="AG49" s="14"/>
      <c r="AH49" s="14"/>
      <c r="AI49" s="14"/>
      <c r="AJ49" s="14"/>
    </row>
    <row r="50" spans="1:56" s="13" customFormat="1" x14ac:dyDescent="0.2">
      <c r="C50" s="7"/>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56" s="13" customFormat="1" x14ac:dyDescent="0.2">
      <c r="C51" s="7"/>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56" s="17" customFormat="1" ht="22.5" customHeight="1" x14ac:dyDescent="0.2">
      <c r="A52" s="13"/>
      <c r="B52" s="13"/>
      <c r="C52" s="16"/>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3"/>
      <c r="AL52" s="13"/>
      <c r="AM52" s="13"/>
      <c r="AN52" s="13"/>
      <c r="AO52" s="13"/>
      <c r="AP52" s="13"/>
      <c r="AQ52" s="13"/>
      <c r="AR52" s="13"/>
      <c r="AS52" s="13"/>
      <c r="AT52" s="13"/>
      <c r="AU52" s="13"/>
      <c r="AV52" s="13"/>
      <c r="AW52" s="13"/>
      <c r="AX52" s="13"/>
      <c r="AY52" s="13"/>
      <c r="AZ52" s="13"/>
      <c r="BA52" s="13"/>
      <c r="BB52" s="13"/>
      <c r="BC52" s="13"/>
      <c r="BD52" s="13"/>
    </row>
    <row r="53" spans="1:56" s="13" customFormat="1" x14ac:dyDescent="0.2">
      <c r="C53" s="7"/>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row>
    <row r="54" spans="1:56" s="13" customFormat="1" x14ac:dyDescent="0.2">
      <c r="C54" s="7"/>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row>
    <row r="55" spans="1:56" s="13" customFormat="1" x14ac:dyDescent="0.2">
      <c r="C55" s="7"/>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row>
    <row r="56" spans="1:56" s="13" customFormat="1" x14ac:dyDescent="0.2">
      <c r="C56" s="7"/>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row>
    <row r="57" spans="1:56" s="13" customFormat="1" x14ac:dyDescent="0.2">
      <c r="C57" s="7"/>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row>
    <row r="58" spans="1:56" s="13" customFormat="1" x14ac:dyDescent="0.2">
      <c r="C58" s="7"/>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row>
    <row r="59" spans="1:56" s="13" customFormat="1" x14ac:dyDescent="0.2">
      <c r="C59" s="7"/>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row>
    <row r="60" spans="1:56" s="13" customFormat="1" x14ac:dyDescent="0.2">
      <c r="C60" s="7"/>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row>
    <row r="61" spans="1:56" s="13" customFormat="1" x14ac:dyDescent="0.2">
      <c r="C61" s="7"/>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row>
    <row r="62" spans="1:56" s="13" customFormat="1" x14ac:dyDescent="0.2">
      <c r="C62" s="7"/>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row>
    <row r="63" spans="1:56" s="13" customFormat="1" x14ac:dyDescent="0.2">
      <c r="C63" s="7"/>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row>
    <row r="64" spans="1:56" s="13" customFormat="1" x14ac:dyDescent="0.2">
      <c r="C64" s="7"/>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row>
    <row r="65" spans="1:56" s="13" customFormat="1" x14ac:dyDescent="0.2">
      <c r="C65" s="7"/>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row>
    <row r="66" spans="1:56" s="13" customFormat="1" x14ac:dyDescent="0.2">
      <c r="C66" s="7"/>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row>
    <row r="67" spans="1:56" s="13" customFormat="1" x14ac:dyDescent="0.2">
      <c r="C67" s="7"/>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row>
    <row r="68" spans="1:56" s="13" customFormat="1" x14ac:dyDescent="0.2">
      <c r="B68" s="14"/>
      <c r="C68" s="7"/>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row>
    <row r="69" spans="1:56" s="13" customFormat="1" x14ac:dyDescent="0.2">
      <c r="B69" s="14"/>
      <c r="C69" s="7"/>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row>
    <row r="70" spans="1:56" s="13" customFormat="1" x14ac:dyDescent="0.2">
      <c r="B70" s="14"/>
      <c r="C70" s="7"/>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row>
    <row r="71" spans="1:56" s="13" customFormat="1" x14ac:dyDescent="0.2">
      <c r="B71" s="14"/>
      <c r="C71" s="7"/>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row>
    <row r="72" spans="1:56" s="13" customFormat="1" x14ac:dyDescent="0.2">
      <c r="B72" s="14"/>
      <c r="C72" s="7"/>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row>
    <row r="73" spans="1:56" s="13" customFormat="1" x14ac:dyDescent="0.2">
      <c r="B73" s="14"/>
      <c r="C73" s="7"/>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row>
    <row r="74" spans="1:56" s="13" customFormat="1" x14ac:dyDescent="0.2">
      <c r="B74" s="14"/>
      <c r="C74" s="7"/>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row>
    <row r="75" spans="1:56" s="13" customFormat="1" x14ac:dyDescent="0.2">
      <c r="B75" s="14"/>
      <c r="C75" s="7"/>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row>
    <row r="76" spans="1:56" s="13" customFormat="1" x14ac:dyDescent="0.2">
      <c r="B76" s="14"/>
      <c r="C76" s="7"/>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row>
    <row r="77" spans="1:56" s="13" customFormat="1" x14ac:dyDescent="0.2">
      <c r="A77" s="14"/>
      <c r="B77" s="14"/>
      <c r="C77" s="7"/>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row>
    <row r="78" spans="1:56" s="13" customFormat="1" x14ac:dyDescent="0.2">
      <c r="A78" s="14"/>
      <c r="B78" s="14"/>
      <c r="C78" s="7"/>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row>
    <row r="79" spans="1:56" s="13" customFormat="1" x14ac:dyDescent="0.2">
      <c r="A79" s="14"/>
      <c r="B79" s="14"/>
      <c r="C79" s="7"/>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row>
    <row r="80" spans="1:56" s="13" customFormat="1" x14ac:dyDescent="0.2">
      <c r="A80" s="14"/>
      <c r="B80" s="14"/>
      <c r="C80" s="7"/>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row>
    <row r="81" spans="3:3" x14ac:dyDescent="0.2">
      <c r="C81" s="7"/>
    </row>
    <row r="82" spans="3:3" x14ac:dyDescent="0.2">
      <c r="C82" s="7"/>
    </row>
    <row r="83" spans="3:3" x14ac:dyDescent="0.2">
      <c r="C83" s="7"/>
    </row>
    <row r="84" spans="3:3" x14ac:dyDescent="0.2">
      <c r="C84" s="7"/>
    </row>
    <row r="85" spans="3:3" x14ac:dyDescent="0.2">
      <c r="C85" s="7"/>
    </row>
    <row r="86" spans="3:3" x14ac:dyDescent="0.2">
      <c r="C86" s="7"/>
    </row>
    <row r="87" spans="3:3" x14ac:dyDescent="0.2">
      <c r="C87" s="7"/>
    </row>
    <row r="88" spans="3:3" x14ac:dyDescent="0.2">
      <c r="C88" s="7"/>
    </row>
    <row r="89" spans="3:3" x14ac:dyDescent="0.2">
      <c r="C89" s="7"/>
    </row>
    <row r="90" spans="3:3" x14ac:dyDescent="0.2">
      <c r="C90" s="7"/>
    </row>
    <row r="91" spans="3:3" x14ac:dyDescent="0.2">
      <c r="C91" s="7"/>
    </row>
    <row r="92" spans="3:3" x14ac:dyDescent="0.2">
      <c r="C92" s="7"/>
    </row>
    <row r="93" spans="3:3" x14ac:dyDescent="0.2">
      <c r="C93" s="7"/>
    </row>
    <row r="94" spans="3:3" x14ac:dyDescent="0.2">
      <c r="C94" s="7"/>
    </row>
    <row r="95" spans="3:3" x14ac:dyDescent="0.2">
      <c r="C95" s="7"/>
    </row>
    <row r="96" spans="3:3" x14ac:dyDescent="0.2">
      <c r="C96" s="7"/>
    </row>
    <row r="97" spans="3:3" x14ac:dyDescent="0.2">
      <c r="C97" s="7"/>
    </row>
    <row r="98" spans="3:3" x14ac:dyDescent="0.2">
      <c r="C98" s="7"/>
    </row>
    <row r="99" spans="3:3" x14ac:dyDescent="0.2">
      <c r="C99" s="7"/>
    </row>
    <row r="100" spans="3:3" x14ac:dyDescent="0.2">
      <c r="C100" s="7"/>
    </row>
    <row r="101" spans="3:3" x14ac:dyDescent="0.2">
      <c r="C101" s="7"/>
    </row>
    <row r="102" spans="3:3" x14ac:dyDescent="0.2">
      <c r="C102" s="7"/>
    </row>
    <row r="103" spans="3:3" x14ac:dyDescent="0.2">
      <c r="C103" s="7"/>
    </row>
    <row r="104" spans="3:3" x14ac:dyDescent="0.2">
      <c r="C104" s="7"/>
    </row>
    <row r="105" spans="3:3" x14ac:dyDescent="0.2">
      <c r="C105" s="7"/>
    </row>
    <row r="106" spans="3:3" x14ac:dyDescent="0.2">
      <c r="C106" s="7"/>
    </row>
    <row r="107" spans="3:3" x14ac:dyDescent="0.2">
      <c r="C107" s="7"/>
    </row>
    <row r="108" spans="3:3" x14ac:dyDescent="0.2">
      <c r="C108" s="7"/>
    </row>
    <row r="109" spans="3:3" x14ac:dyDescent="0.2">
      <c r="C109" s="7"/>
    </row>
    <row r="110" spans="3:3" x14ac:dyDescent="0.2">
      <c r="C110" s="7"/>
    </row>
    <row r="111" spans="3:3" x14ac:dyDescent="0.2">
      <c r="C111" s="7"/>
    </row>
    <row r="112" spans="3:3" x14ac:dyDescent="0.2">
      <c r="C112" s="7"/>
    </row>
    <row r="113" spans="3:3" x14ac:dyDescent="0.2">
      <c r="C113" s="7"/>
    </row>
    <row r="114" spans="3:3" x14ac:dyDescent="0.2">
      <c r="C114" s="7"/>
    </row>
    <row r="115" spans="3:3" x14ac:dyDescent="0.2">
      <c r="C115" s="7"/>
    </row>
    <row r="116" spans="3:3" x14ac:dyDescent="0.2">
      <c r="C116" s="7"/>
    </row>
    <row r="117" spans="3:3" x14ac:dyDescent="0.2">
      <c r="C117" s="7"/>
    </row>
    <row r="118" spans="3:3" x14ac:dyDescent="0.2">
      <c r="C118" s="7"/>
    </row>
    <row r="119" spans="3:3" x14ac:dyDescent="0.2">
      <c r="C119" s="7"/>
    </row>
    <row r="120" spans="3:3" x14ac:dyDescent="0.2">
      <c r="C120" s="7"/>
    </row>
    <row r="121" spans="3:3" x14ac:dyDescent="0.2">
      <c r="C121" s="7"/>
    </row>
    <row r="122" spans="3:3" x14ac:dyDescent="0.2">
      <c r="C122" s="7"/>
    </row>
    <row r="123" spans="3:3" x14ac:dyDescent="0.2">
      <c r="C123" s="7"/>
    </row>
    <row r="124" spans="3:3" x14ac:dyDescent="0.2">
      <c r="C124" s="7"/>
    </row>
    <row r="125" spans="3:3" x14ac:dyDescent="0.2">
      <c r="C125" s="7"/>
    </row>
    <row r="126" spans="3:3" x14ac:dyDescent="0.2">
      <c r="C126" s="7"/>
    </row>
    <row r="127" spans="3:3" x14ac:dyDescent="0.2">
      <c r="C127" s="7"/>
    </row>
  </sheetData>
  <sheetProtection formatCells="0" formatColumns="0" formatRows="0"/>
  <mergeCells count="26">
    <mergeCell ref="AB43:AD43"/>
    <mergeCell ref="AS17:AV17"/>
    <mergeCell ref="AW17:AZ17"/>
    <mergeCell ref="I1:L1"/>
    <mergeCell ref="M1:P1"/>
    <mergeCell ref="Y1:AB1"/>
    <mergeCell ref="AC1:AF1"/>
    <mergeCell ref="U1:X1"/>
    <mergeCell ref="AO17:AR17"/>
    <mergeCell ref="AK17:AN17"/>
    <mergeCell ref="V43:X43"/>
    <mergeCell ref="M43:O43"/>
    <mergeCell ref="P43:R43"/>
    <mergeCell ref="S43:U43"/>
    <mergeCell ref="Y43:AA43"/>
    <mergeCell ref="E1:H1"/>
    <mergeCell ref="Q1:T1"/>
    <mergeCell ref="AG1:AJ1"/>
    <mergeCell ref="AC17:AF17"/>
    <mergeCell ref="AG17:AJ17"/>
    <mergeCell ref="E17:H17"/>
    <mergeCell ref="I17:L17"/>
    <mergeCell ref="M17:P17"/>
    <mergeCell ref="Q17:T17"/>
    <mergeCell ref="U17:X17"/>
    <mergeCell ref="Y17:AB1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CDE1545C-8F19-4917-932B-4D2B1C6F5F2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17</vt:i4>
      </vt:variant>
    </vt:vector>
  </HeadingPairs>
  <TitlesOfParts>
    <vt:vector size="22" baseType="lpstr">
      <vt:lpstr>Choose Region</vt:lpstr>
      <vt:lpstr>2-50 Landmark Rate Calculator</vt:lpstr>
      <vt:lpstr>51-199 Landmark Rate Calculator</vt:lpstr>
      <vt:lpstr>VOL Landmark Rate Calculator</vt:lpstr>
      <vt:lpstr>Lists</vt:lpstr>
      <vt:lpstr>Area_Acu_VOL</vt:lpstr>
      <vt:lpstr>'51-199 Landmark Rate Calculator'!Area_Chiro_GroupSize_51199</vt:lpstr>
      <vt:lpstr>Area_Chiro_VOL</vt:lpstr>
      <vt:lpstr>Area_ChiroAcu_GroupSize_51199</vt:lpstr>
      <vt:lpstr>'2-50 Landmark Rate Calculator'!Area_GroupSize_0250</vt:lpstr>
      <vt:lpstr>List_Area</vt:lpstr>
      <vt:lpstr>List_EffDate</vt:lpstr>
      <vt:lpstr>List_RateTable_LG</vt:lpstr>
      <vt:lpstr>List_RateTable_SG</vt:lpstr>
      <vt:lpstr>List_RateTable_VOL</vt:lpstr>
      <vt:lpstr>'2-50 Landmark Rate Calculator'!Print_Area</vt:lpstr>
      <vt:lpstr>'51-199 Landmark Rate Calculator'!Print_Area</vt:lpstr>
      <vt:lpstr>'Choose Region'!Print_Area</vt:lpstr>
      <vt:lpstr>'VOL Landmark Rate Calculator'!Print_Area</vt:lpstr>
      <vt:lpstr>'51-199 Landmark Rate Calculator'!Print_Titles</vt:lpstr>
      <vt:lpstr>'Choose Region'!Print_Titles</vt:lpstr>
      <vt:lpstr>'VOL Landmark Rate Calculator'!Print_Titles</vt:lpstr>
    </vt:vector>
  </TitlesOfParts>
  <Company>Conh-Reid-O'Neill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Piccininno</dc:creator>
  <cp:lastModifiedBy>Erik Buckalew</cp:lastModifiedBy>
  <cp:lastPrinted>2021-06-22T22:19:06Z</cp:lastPrinted>
  <dcterms:created xsi:type="dcterms:W3CDTF">2010-11-22T22:13:43Z</dcterms:created>
  <dcterms:modified xsi:type="dcterms:W3CDTF">2022-05-18T21:12:59Z</dcterms:modified>
</cp:coreProperties>
</file>